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E:\FORMULA RATES SPP\Annual Update AEP West Trans\True Ups\2025 Rate Year\As Filed\"/>
    </mc:Choice>
  </mc:AlternateContent>
  <xr:revisionPtr revIDLastSave="0" documentId="13_ncr:1_{58C79098-93E9-44F4-A6FB-0659FD7728F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33" r:id="rId1"/>
    <sheet name="Summary" sheetId="29" r:id="rId2"/>
    <sheet name="Pivot" sheetId="31" r:id="rId3"/>
    <sheet name="Transactions" sheetId="18" r:id="rId4"/>
  </sheets>
  <definedNames>
    <definedName name="_xlnm._FilterDatabase" localSheetId="3" hidden="1">Transactions!$A$15:$R$211</definedName>
    <definedName name="AS1_1999" localSheetId="3">Transactions!$C$19:$J$26</definedName>
    <definedName name="AS1_1999">#REF!</definedName>
    <definedName name="Avg_Annual_FERC_Rate">#REF!</definedName>
    <definedName name="etec">#REF!</definedName>
    <definedName name="fake">#REF!</definedName>
    <definedName name="greenbelt">#REF!</definedName>
    <definedName name="janetec">#REF!</definedName>
    <definedName name="lighthouse">#REF!</definedName>
    <definedName name="ntec">#REF!</definedName>
    <definedName name="ompa">#REF!</definedName>
    <definedName name="_xlnm.Print_Area" localSheetId="0">Instructions!$A$1:$R$18</definedName>
    <definedName name="_xlnm.Print_Area" localSheetId="1">Summary!$C$1:$I$40</definedName>
    <definedName name="_xlnm.Print_Area" localSheetId="3">Transactions!$A$1:$R$212</definedName>
    <definedName name="_xlnm.Print_Titles" localSheetId="2">Pivot!$3:$4</definedName>
    <definedName name="_xlnm.Print_Titles" localSheetId="3">Transactions!$B:$E,Transactions!$1:$19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etc">#REF!</definedName>
    <definedName name="ss2gb">#REF!</definedName>
    <definedName name="ss2gbt">#REF!</definedName>
    <definedName name="ss2lh">#REF!</definedName>
    <definedName name="ss2lhs">#REF!</definedName>
    <definedName name="ss2nt">#REF!</definedName>
    <definedName name="ss2ntc">#REF!</definedName>
    <definedName name="ss2op">#REF!</definedName>
    <definedName name="ss2opm">#REF!</definedName>
    <definedName name="ss2tx">#REF!</definedName>
    <definedName name="ss2txl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tbl_QtrPrimRat">#REF!</definedName>
    <definedName name="texla">#REF!</definedName>
  </definedNames>
  <calcPr calcId="191029" iterate="1"/>
  <pivotCaches>
    <pivotCache cacheId="1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9" l="1"/>
  <c r="L3" i="18" l="1"/>
  <c r="K1" i="18" l="1"/>
  <c r="B79" i="18"/>
  <c r="B78" i="18"/>
  <c r="B77" i="18"/>
  <c r="B76" i="18"/>
  <c r="B75" i="18"/>
  <c r="B74" i="18"/>
  <c r="B73" i="18"/>
  <c r="B72" i="18"/>
  <c r="B71" i="18"/>
  <c r="B70" i="18"/>
  <c r="B69" i="18"/>
  <c r="B68" i="18"/>
  <c r="C1" i="29"/>
  <c r="B3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C42" i="18"/>
  <c r="C66" i="18" s="1"/>
  <c r="D38" i="18"/>
  <c r="D62" i="18" s="1"/>
  <c r="J19" i="18"/>
  <c r="D43" i="18"/>
  <c r="D67" i="18" s="1"/>
  <c r="D91" i="18" s="1"/>
  <c r="D103" i="18" s="1"/>
  <c r="D115" i="18" s="1"/>
  <c r="D127" i="18" s="1"/>
  <c r="D139" i="18" s="1"/>
  <c r="D151" i="18" s="1"/>
  <c r="D163" i="18" s="1"/>
  <c r="D175" i="18" s="1"/>
  <c r="B31" i="18"/>
  <c r="D42" i="18"/>
  <c r="D54" i="18" s="1"/>
  <c r="B30" i="18"/>
  <c r="D41" i="18"/>
  <c r="D65" i="18" s="1"/>
  <c r="B29" i="18"/>
  <c r="B28" i="18"/>
  <c r="C39" i="18"/>
  <c r="C63" i="18" s="1"/>
  <c r="C87" i="18" s="1"/>
  <c r="C99" i="18" s="1"/>
  <c r="C111" i="18" s="1"/>
  <c r="C123" i="18" s="1"/>
  <c r="C135" i="18" s="1"/>
  <c r="C147" i="18" s="1"/>
  <c r="C159" i="18" s="1"/>
  <c r="D39" i="18"/>
  <c r="D51" i="18" s="1"/>
  <c r="B27" i="18"/>
  <c r="B26" i="18"/>
  <c r="B25" i="18"/>
  <c r="B24" i="18"/>
  <c r="B23" i="18"/>
  <c r="B22" i="18"/>
  <c r="B21" i="18"/>
  <c r="D32" i="18"/>
  <c r="D44" i="18" s="1"/>
  <c r="B16" i="18"/>
  <c r="J1" i="18"/>
  <c r="C43" i="18"/>
  <c r="C55" i="18" s="1"/>
  <c r="B175" i="18"/>
  <c r="B174" i="18"/>
  <c r="B173" i="18"/>
  <c r="B172" i="18"/>
  <c r="B171" i="18"/>
  <c r="C38" i="18"/>
  <c r="C50" i="18" s="1"/>
  <c r="B170" i="18"/>
  <c r="C37" i="18"/>
  <c r="C49" i="18" s="1"/>
  <c r="B169" i="18"/>
  <c r="B168" i="18"/>
  <c r="B167" i="18"/>
  <c r="B166" i="18"/>
  <c r="C33" i="18"/>
  <c r="C45" i="18" s="1"/>
  <c r="B165" i="18"/>
  <c r="C32" i="18"/>
  <c r="C44" i="18" s="1"/>
  <c r="B164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20" i="18"/>
  <c r="C35" i="18"/>
  <c r="C34" i="18"/>
  <c r="C46" i="18" s="1"/>
  <c r="C41" i="18"/>
  <c r="C65" i="18" s="1"/>
  <c r="D36" i="18"/>
  <c r="D48" i="18" s="1"/>
  <c r="C36" i="18"/>
  <c r="C60" i="18" s="1"/>
  <c r="C84" i="18" s="1"/>
  <c r="C96" i="18" s="1"/>
  <c r="C108" i="18" s="1"/>
  <c r="C120" i="18" s="1"/>
  <c r="C132" i="18" s="1"/>
  <c r="C144" i="18" s="1"/>
  <c r="C156" i="18" s="1"/>
  <c r="C40" i="18"/>
  <c r="C52" i="18" s="1"/>
  <c r="D35" i="18"/>
  <c r="D59" i="18" s="1"/>
  <c r="D83" i="18" s="1"/>
  <c r="D95" i="18" s="1"/>
  <c r="D107" i="18" s="1"/>
  <c r="D119" i="18" s="1"/>
  <c r="D131" i="18" s="1"/>
  <c r="D143" i="18" s="1"/>
  <c r="D155" i="18" s="1"/>
  <c r="D37" i="18"/>
  <c r="D61" i="18" s="1"/>
  <c r="D40" i="18"/>
  <c r="D33" i="18"/>
  <c r="D45" i="18" s="1"/>
  <c r="D34" i="18"/>
  <c r="D58" i="18" s="1"/>
  <c r="G27" i="29"/>
  <c r="H22" i="29"/>
  <c r="E30" i="29"/>
  <c r="H27" i="29"/>
  <c r="G23" i="29"/>
  <c r="G37" i="29"/>
  <c r="D25" i="29"/>
  <c r="H23" i="29"/>
  <c r="H21" i="29"/>
  <c r="E27" i="29"/>
  <c r="H28" i="29"/>
  <c r="H30" i="29"/>
  <c r="H31" i="29"/>
  <c r="D24" i="29"/>
  <c r="E35" i="29"/>
  <c r="H35" i="29"/>
  <c r="D36" i="29"/>
  <c r="G25" i="29"/>
  <c r="H32" i="29"/>
  <c r="H24" i="29"/>
  <c r="G31" i="29"/>
  <c r="H37" i="29"/>
  <c r="D30" i="29"/>
  <c r="E29" i="29"/>
  <c r="E23" i="29"/>
  <c r="H29" i="29"/>
  <c r="D26" i="29"/>
  <c r="E28" i="29"/>
  <c r="H33" i="29"/>
  <c r="D27" i="29"/>
  <c r="G30" i="29"/>
  <c r="G21" i="29"/>
  <c r="H25" i="29"/>
  <c r="E37" i="29"/>
  <c r="H26" i="29"/>
  <c r="E33" i="29"/>
  <c r="D37" i="29"/>
  <c r="E24" i="29"/>
  <c r="G32" i="29"/>
  <c r="H36" i="29"/>
  <c r="E25" i="29"/>
  <c r="E26" i="29"/>
  <c r="G35" i="29"/>
  <c r="G22" i="29"/>
  <c r="G29" i="29"/>
  <c r="G24" i="29"/>
  <c r="G28" i="29"/>
  <c r="E22" i="29"/>
  <c r="E31" i="29"/>
  <c r="E32" i="29"/>
  <c r="G36" i="29"/>
  <c r="G26" i="29"/>
  <c r="E36" i="29"/>
  <c r="G33" i="29"/>
  <c r="E21" i="29"/>
  <c r="D35" i="29"/>
  <c r="D55" i="18" l="1"/>
  <c r="D66" i="18"/>
  <c r="D78" i="18" s="1"/>
  <c r="C57" i="18"/>
  <c r="C81" i="18" s="1"/>
  <c r="C93" i="18" s="1"/>
  <c r="C105" i="18" s="1"/>
  <c r="C117" i="18" s="1"/>
  <c r="C129" i="18" s="1"/>
  <c r="C141" i="18" s="1"/>
  <c r="C153" i="18" s="1"/>
  <c r="C165" i="18" s="1"/>
  <c r="D79" i="18"/>
  <c r="D63" i="18"/>
  <c r="D87" i="18" s="1"/>
  <c r="D99" i="18" s="1"/>
  <c r="D111" i="18" s="1"/>
  <c r="D123" i="18" s="1"/>
  <c r="D135" i="18" s="1"/>
  <c r="D147" i="18" s="1"/>
  <c r="D159" i="18" s="1"/>
  <c r="D171" i="18" s="1"/>
  <c r="C51" i="18"/>
  <c r="C61" i="18"/>
  <c r="C73" i="18" s="1"/>
  <c r="D50" i="18"/>
  <c r="C64" i="18"/>
  <c r="C76" i="18" s="1"/>
  <c r="C56" i="18"/>
  <c r="C80" i="18" s="1"/>
  <c r="C92" i="18" s="1"/>
  <c r="C104" i="18" s="1"/>
  <c r="C116" i="18" s="1"/>
  <c r="C128" i="18" s="1"/>
  <c r="C140" i="18" s="1"/>
  <c r="C152" i="18" s="1"/>
  <c r="C164" i="18" s="1"/>
  <c r="C75" i="18"/>
  <c r="D53" i="18"/>
  <c r="C54" i="18"/>
  <c r="C53" i="18"/>
  <c r="D46" i="18"/>
  <c r="F10" i="29"/>
  <c r="D20" i="29"/>
  <c r="E20" i="29"/>
  <c r="C78" i="18"/>
  <c r="C90" i="18"/>
  <c r="C102" i="18" s="1"/>
  <c r="C114" i="18" s="1"/>
  <c r="C126" i="18" s="1"/>
  <c r="C138" i="18" s="1"/>
  <c r="C150" i="18" s="1"/>
  <c r="C162" i="18" s="1"/>
  <c r="C186" i="18" s="1"/>
  <c r="C198" i="18" s="1"/>
  <c r="C210" i="18" s="1"/>
  <c r="D57" i="18"/>
  <c r="D81" i="18" s="1"/>
  <c r="D93" i="18" s="1"/>
  <c r="D105" i="18" s="1"/>
  <c r="D117" i="18" s="1"/>
  <c r="D129" i="18" s="1"/>
  <c r="D141" i="18" s="1"/>
  <c r="D153" i="18" s="1"/>
  <c r="C72" i="18"/>
  <c r="C3" i="29"/>
  <c r="E10" i="29"/>
  <c r="O13" i="18"/>
  <c r="C67" i="18"/>
  <c r="C79" i="18" s="1"/>
  <c r="D77" i="18"/>
  <c r="D89" i="18"/>
  <c r="D101" i="18" s="1"/>
  <c r="D113" i="18" s="1"/>
  <c r="D125" i="18" s="1"/>
  <c r="D137" i="18" s="1"/>
  <c r="D149" i="18" s="1"/>
  <c r="D161" i="18" s="1"/>
  <c r="D173" i="18" s="1"/>
  <c r="D74" i="18"/>
  <c r="D86" i="18"/>
  <c r="D98" i="18" s="1"/>
  <c r="D110" i="18" s="1"/>
  <c r="D122" i="18" s="1"/>
  <c r="D134" i="18" s="1"/>
  <c r="D146" i="18" s="1"/>
  <c r="D158" i="18" s="1"/>
  <c r="D170" i="18" s="1"/>
  <c r="C62" i="18"/>
  <c r="D49" i="18"/>
  <c r="D60" i="18"/>
  <c r="D72" i="18" s="1"/>
  <c r="C48" i="18"/>
  <c r="D71" i="18"/>
  <c r="C58" i="18"/>
  <c r="D56" i="18"/>
  <c r="D80" i="18" s="1"/>
  <c r="D92" i="18" s="1"/>
  <c r="D104" i="18" s="1"/>
  <c r="D116" i="18" s="1"/>
  <c r="D128" i="18" s="1"/>
  <c r="D140" i="18" s="1"/>
  <c r="D152" i="18" s="1"/>
  <c r="F24" i="29"/>
  <c r="I24" i="29" s="1"/>
  <c r="F30" i="29"/>
  <c r="I30" i="29" s="1"/>
  <c r="H34" i="29"/>
  <c r="F37" i="29"/>
  <c r="I37" i="29" s="1"/>
  <c r="G34" i="29"/>
  <c r="F27" i="29"/>
  <c r="I27" i="29" s="1"/>
  <c r="E34" i="29"/>
  <c r="H38" i="29"/>
  <c r="F35" i="29"/>
  <c r="D38" i="29"/>
  <c r="F25" i="29"/>
  <c r="I25" i="29" s="1"/>
  <c r="E38" i="29"/>
  <c r="G38" i="29"/>
  <c r="F36" i="29"/>
  <c r="I36" i="29" s="1"/>
  <c r="F26" i="29"/>
  <c r="I26" i="29" s="1"/>
  <c r="C180" i="18"/>
  <c r="C192" i="18" s="1"/>
  <c r="C204" i="18" s="1"/>
  <c r="C168" i="18"/>
  <c r="O14" i="18"/>
  <c r="C171" i="18"/>
  <c r="C183" i="18"/>
  <c r="C195" i="18" s="1"/>
  <c r="C207" i="18" s="1"/>
  <c r="D167" i="18"/>
  <c r="D179" i="18"/>
  <c r="D191" i="18" s="1"/>
  <c r="D203" i="18" s="1"/>
  <c r="D70" i="18"/>
  <c r="D82" i="18"/>
  <c r="D94" i="18" s="1"/>
  <c r="D106" i="18" s="1"/>
  <c r="D118" i="18" s="1"/>
  <c r="D130" i="18" s="1"/>
  <c r="D142" i="18" s="1"/>
  <c r="D154" i="18" s="1"/>
  <c r="C47" i="18"/>
  <c r="C59" i="18"/>
  <c r="D187" i="18"/>
  <c r="D199" i="18" s="1"/>
  <c r="D211" i="18" s="1"/>
  <c r="D85" i="18"/>
  <c r="D97" i="18" s="1"/>
  <c r="D109" i="18" s="1"/>
  <c r="D121" i="18" s="1"/>
  <c r="D133" i="18" s="1"/>
  <c r="D145" i="18" s="1"/>
  <c r="D157" i="18" s="1"/>
  <c r="D73" i="18"/>
  <c r="D47" i="18"/>
  <c r="C89" i="18"/>
  <c r="C101" i="18" s="1"/>
  <c r="C113" i="18" s="1"/>
  <c r="C125" i="18" s="1"/>
  <c r="C137" i="18" s="1"/>
  <c r="C149" i="18" s="1"/>
  <c r="C161" i="18" s="1"/>
  <c r="C77" i="18"/>
  <c r="D64" i="18"/>
  <c r="D52" i="18"/>
  <c r="D21" i="29"/>
  <c r="D23" i="29"/>
  <c r="D31" i="29"/>
  <c r="D29" i="29"/>
  <c r="D22" i="29"/>
  <c r="D28" i="29"/>
  <c r="D32" i="29"/>
  <c r="D33" i="29"/>
  <c r="F23" i="29" l="1"/>
  <c r="I23" i="29" s="1"/>
  <c r="F32" i="29"/>
  <c r="I32" i="29" s="1"/>
  <c r="F31" i="29"/>
  <c r="I31" i="29" s="1"/>
  <c r="F29" i="29"/>
  <c r="I29" i="29" s="1"/>
  <c r="F21" i="29"/>
  <c r="I21" i="29" s="1"/>
  <c r="D34" i="29"/>
  <c r="D39" i="29" s="1"/>
  <c r="F33" i="29"/>
  <c r="I33" i="29" s="1"/>
  <c r="F28" i="29"/>
  <c r="I28" i="29" s="1"/>
  <c r="F22" i="29"/>
  <c r="I22" i="29" s="1"/>
  <c r="D183" i="18"/>
  <c r="D195" i="18" s="1"/>
  <c r="D207" i="18" s="1"/>
  <c r="C91" i="18"/>
  <c r="C103" i="18" s="1"/>
  <c r="C115" i="18" s="1"/>
  <c r="C127" i="18" s="1"/>
  <c r="C139" i="18" s="1"/>
  <c r="C151" i="18" s="1"/>
  <c r="C163" i="18" s="1"/>
  <c r="C175" i="18" s="1"/>
  <c r="D75" i="18"/>
  <c r="C69" i="18"/>
  <c r="C174" i="18"/>
  <c r="D90" i="18"/>
  <c r="D102" i="18" s="1"/>
  <c r="D114" i="18" s="1"/>
  <c r="D126" i="18" s="1"/>
  <c r="D138" i="18" s="1"/>
  <c r="D150" i="18" s="1"/>
  <c r="D162" i="18" s="1"/>
  <c r="D174" i="18" s="1"/>
  <c r="C176" i="18"/>
  <c r="C188" i="18" s="1"/>
  <c r="C200" i="18" s="1"/>
  <c r="C177" i="18"/>
  <c r="C189" i="18" s="1"/>
  <c r="C201" i="18" s="1"/>
  <c r="C68" i="18"/>
  <c r="C88" i="18"/>
  <c r="C100" i="18" s="1"/>
  <c r="C112" i="18" s="1"/>
  <c r="C124" i="18" s="1"/>
  <c r="C136" i="18" s="1"/>
  <c r="C148" i="18" s="1"/>
  <c r="C160" i="18" s="1"/>
  <c r="C172" i="18" s="1"/>
  <c r="C85" i="18"/>
  <c r="C97" i="18" s="1"/>
  <c r="C109" i="18" s="1"/>
  <c r="C121" i="18" s="1"/>
  <c r="C133" i="18" s="1"/>
  <c r="C145" i="18" s="1"/>
  <c r="C157" i="18" s="1"/>
  <c r="C181" i="18" s="1"/>
  <c r="C193" i="18" s="1"/>
  <c r="C205" i="18" s="1"/>
  <c r="D84" i="18"/>
  <c r="D96" i="18" s="1"/>
  <c r="D108" i="18" s="1"/>
  <c r="D120" i="18" s="1"/>
  <c r="D132" i="18" s="1"/>
  <c r="D144" i="18" s="1"/>
  <c r="D156" i="18" s="1"/>
  <c r="D168" i="18" s="1"/>
  <c r="D69" i="18"/>
  <c r="D185" i="18"/>
  <c r="D197" i="18" s="1"/>
  <c r="D209" i="18" s="1"/>
  <c r="D68" i="18"/>
  <c r="D182" i="18"/>
  <c r="D194" i="18" s="1"/>
  <c r="D206" i="18" s="1"/>
  <c r="G39" i="29"/>
  <c r="C86" i="18"/>
  <c r="C98" i="18" s="1"/>
  <c r="C110" i="18" s="1"/>
  <c r="C122" i="18" s="1"/>
  <c r="C134" i="18" s="1"/>
  <c r="C146" i="18" s="1"/>
  <c r="C158" i="18" s="1"/>
  <c r="C74" i="18"/>
  <c r="C82" i="18"/>
  <c r="C94" i="18" s="1"/>
  <c r="C106" i="18" s="1"/>
  <c r="C118" i="18" s="1"/>
  <c r="C130" i="18" s="1"/>
  <c r="C142" i="18" s="1"/>
  <c r="C154" i="18" s="1"/>
  <c r="C70" i="18"/>
  <c r="D177" i="18"/>
  <c r="D189" i="18" s="1"/>
  <c r="D201" i="18" s="1"/>
  <c r="D165" i="18"/>
  <c r="D164" i="18"/>
  <c r="D176" i="18"/>
  <c r="D188" i="18" s="1"/>
  <c r="D200" i="18" s="1"/>
  <c r="I35" i="29"/>
  <c r="F38" i="29"/>
  <c r="P13" i="18"/>
  <c r="C173" i="18"/>
  <c r="C185" i="18"/>
  <c r="C197" i="18" s="1"/>
  <c r="C209" i="18" s="1"/>
  <c r="P14" i="18"/>
  <c r="P212" i="18"/>
  <c r="D166" i="18"/>
  <c r="D178" i="18"/>
  <c r="D190" i="18" s="1"/>
  <c r="D202" i="18" s="1"/>
  <c r="E39" i="29"/>
  <c r="D88" i="18"/>
  <c r="D100" i="18" s="1"/>
  <c r="D112" i="18" s="1"/>
  <c r="D124" i="18" s="1"/>
  <c r="D136" i="18" s="1"/>
  <c r="D148" i="18" s="1"/>
  <c r="D160" i="18" s="1"/>
  <c r="D76" i="18"/>
  <c r="D181" i="18"/>
  <c r="D193" i="18" s="1"/>
  <c r="D205" i="18" s="1"/>
  <c r="D169" i="18"/>
  <c r="C83" i="18"/>
  <c r="C95" i="18" s="1"/>
  <c r="C107" i="18" s="1"/>
  <c r="C119" i="18" s="1"/>
  <c r="C131" i="18" s="1"/>
  <c r="C143" i="18" s="1"/>
  <c r="C155" i="18" s="1"/>
  <c r="C71" i="18"/>
  <c r="H39" i="29"/>
  <c r="F34" i="29" l="1"/>
  <c r="F39" i="29" s="1"/>
  <c r="C187" i="18"/>
  <c r="C199" i="18" s="1"/>
  <c r="C211" i="18" s="1"/>
  <c r="C169" i="18"/>
  <c r="D186" i="18"/>
  <c r="D198" i="18" s="1"/>
  <c r="D210" i="18" s="1"/>
  <c r="C184" i="18"/>
  <c r="C196" i="18" s="1"/>
  <c r="C208" i="18" s="1"/>
  <c r="D180" i="18"/>
  <c r="D192" i="18" s="1"/>
  <c r="D204" i="18" s="1"/>
  <c r="Q13" i="18"/>
  <c r="Q14" i="18"/>
  <c r="C170" i="18"/>
  <c r="C182" i="18"/>
  <c r="C194" i="18" s="1"/>
  <c r="C206" i="18" s="1"/>
  <c r="C178" i="18"/>
  <c r="C190" i="18" s="1"/>
  <c r="C202" i="18" s="1"/>
  <c r="C166" i="18"/>
  <c r="I34" i="29"/>
  <c r="I38" i="29"/>
  <c r="C167" i="18"/>
  <c r="C179" i="18"/>
  <c r="C191" i="18" s="1"/>
  <c r="C203" i="18" s="1"/>
  <c r="D184" i="18"/>
  <c r="D196" i="18" s="1"/>
  <c r="D208" i="18" s="1"/>
  <c r="D172" i="18"/>
  <c r="I39" i="29" l="1"/>
  <c r="G212" i="18" l="1"/>
  <c r="E11" i="29" l="1"/>
  <c r="H129" i="18" l="1"/>
  <c r="K129" i="18" s="1"/>
  <c r="H32" i="18"/>
  <c r="K32" i="18" s="1"/>
  <c r="H51" i="18"/>
  <c r="K51" i="18" s="1"/>
  <c r="H125" i="18"/>
  <c r="K125" i="18" s="1"/>
  <c r="H31" i="18"/>
  <c r="K31" i="18" s="1"/>
  <c r="H64" i="18"/>
  <c r="K64" i="18" s="1"/>
  <c r="H196" i="18"/>
  <c r="K196" i="18" s="1"/>
  <c r="H92" i="18"/>
  <c r="K92" i="18" s="1"/>
  <c r="H59" i="18"/>
  <c r="K59" i="18" s="1"/>
  <c r="H138" i="18"/>
  <c r="K138" i="18" s="1"/>
  <c r="H94" i="18"/>
  <c r="K94" i="18" s="1"/>
  <c r="H56" i="18"/>
  <c r="K56" i="18" s="1"/>
  <c r="H210" i="18"/>
  <c r="K210" i="18" s="1"/>
  <c r="H34" i="18"/>
  <c r="K34" i="18" s="1"/>
  <c r="H122" i="18"/>
  <c r="K122" i="18" s="1"/>
  <c r="H106" i="18"/>
  <c r="K106" i="18" s="1"/>
  <c r="H72" i="18"/>
  <c r="K72" i="18" s="1"/>
  <c r="H112" i="18"/>
  <c r="K112" i="18" s="1"/>
  <c r="H60" i="18"/>
  <c r="K60" i="18" s="1"/>
  <c r="H165" i="18"/>
  <c r="K165" i="18" s="1"/>
  <c r="H103" i="18"/>
  <c r="K103" i="18" s="1"/>
  <c r="H121" i="18"/>
  <c r="K121" i="18" s="1"/>
  <c r="H111" i="18"/>
  <c r="K111" i="18" s="1"/>
  <c r="H73" i="18"/>
  <c r="K73" i="18" s="1"/>
  <c r="H45" i="18"/>
  <c r="K45" i="18" s="1"/>
  <c r="H120" i="18"/>
  <c r="K120" i="18" s="1"/>
  <c r="H89" i="18"/>
  <c r="K89" i="18" s="1"/>
  <c r="H30" i="18"/>
  <c r="K30" i="18" s="1"/>
  <c r="H80" i="18"/>
  <c r="K80" i="18" s="1"/>
  <c r="H199" i="18"/>
  <c r="K199" i="18" s="1"/>
  <c r="H175" i="18"/>
  <c r="K175" i="18" s="1"/>
  <c r="H144" i="18"/>
  <c r="K144" i="18" s="1"/>
  <c r="H102" i="18"/>
  <c r="K102" i="18" s="1"/>
  <c r="H69" i="18"/>
  <c r="K69" i="18" s="1"/>
  <c r="H41" i="18"/>
  <c r="K41" i="18" s="1"/>
  <c r="H207" i="18"/>
  <c r="K207" i="18" s="1"/>
  <c r="H194" i="18"/>
  <c r="K194" i="18" s="1"/>
  <c r="H63" i="18"/>
  <c r="K63" i="18" s="1"/>
  <c r="H46" i="18"/>
  <c r="K46" i="18" s="1"/>
  <c r="H176" i="18"/>
  <c r="K176" i="18" s="1"/>
  <c r="H49" i="18"/>
  <c r="K49" i="18" s="1"/>
  <c r="H39" i="18"/>
  <c r="K39" i="18" s="1"/>
  <c r="H109" i="18"/>
  <c r="K109" i="18" s="1"/>
  <c r="H211" i="18"/>
  <c r="K211" i="18" s="1"/>
  <c r="H47" i="18"/>
  <c r="K47" i="18" s="1"/>
  <c r="H26" i="18"/>
  <c r="K26" i="18" s="1"/>
  <c r="H174" i="18"/>
  <c r="K174" i="18" s="1"/>
  <c r="H135" i="18"/>
  <c r="K135" i="18" s="1"/>
  <c r="H107" i="18"/>
  <c r="K107" i="18" s="1"/>
  <c r="H105" i="18"/>
  <c r="K105" i="18" s="1"/>
  <c r="H57" i="18"/>
  <c r="K57" i="18" s="1"/>
  <c r="H101" i="18"/>
  <c r="K101" i="18" s="1"/>
  <c r="H139" i="18"/>
  <c r="K139" i="18" s="1"/>
  <c r="H141" i="18"/>
  <c r="K141" i="18" s="1"/>
  <c r="H117" i="18"/>
  <c r="K117" i="18" s="1"/>
  <c r="H38" i="18"/>
  <c r="K38" i="18" s="1"/>
  <c r="H110" i="18"/>
  <c r="K110" i="18" s="1"/>
  <c r="H54" i="18"/>
  <c r="K54" i="18" s="1"/>
  <c r="H100" i="18"/>
  <c r="K100" i="18" s="1"/>
  <c r="H99" i="18"/>
  <c r="K99" i="18" s="1"/>
  <c r="H84" i="18"/>
  <c r="K84" i="18" s="1"/>
  <c r="H70" i="18"/>
  <c r="K70" i="18" s="1"/>
  <c r="H95" i="18"/>
  <c r="K95" i="18" s="1"/>
  <c r="H116" i="18"/>
  <c r="K116" i="18" s="1"/>
  <c r="H173" i="18"/>
  <c r="K173" i="18" s="1"/>
  <c r="H187" i="18"/>
  <c r="K187" i="18" s="1"/>
  <c r="H40" i="18"/>
  <c r="K40" i="18" s="1"/>
  <c r="H193" i="18"/>
  <c r="K193" i="18" s="1"/>
  <c r="H146" i="18"/>
  <c r="K146" i="18" s="1"/>
  <c r="H78" i="18"/>
  <c r="K78" i="18" s="1"/>
  <c r="H166" i="18"/>
  <c r="K166" i="18" s="1"/>
  <c r="H167" i="18"/>
  <c r="K167" i="18" s="1"/>
  <c r="H104" i="18"/>
  <c r="K104" i="18" s="1"/>
  <c r="H204" i="18"/>
  <c r="K204" i="18" s="1"/>
  <c r="H87" i="18"/>
  <c r="K87" i="18" s="1"/>
  <c r="H133" i="18"/>
  <c r="K133" i="18" s="1"/>
  <c r="H145" i="18"/>
  <c r="K145" i="18" s="1"/>
  <c r="H137" i="18"/>
  <c r="K137" i="18" s="1"/>
  <c r="H205" i="18"/>
  <c r="K205" i="18" s="1"/>
  <c r="H143" i="18"/>
  <c r="K143" i="18" s="1"/>
  <c r="H55" i="18"/>
  <c r="K55" i="18" s="1"/>
  <c r="H77" i="18"/>
  <c r="K77" i="18" s="1"/>
  <c r="H209" i="18"/>
  <c r="K209" i="18" s="1"/>
  <c r="H65" i="18"/>
  <c r="K65" i="18" s="1"/>
  <c r="H183" i="18"/>
  <c r="K183" i="18" s="1"/>
  <c r="H152" i="18"/>
  <c r="K152" i="18" s="1"/>
  <c r="H50" i="18"/>
  <c r="K50" i="18" s="1"/>
  <c r="H53" i="18"/>
  <c r="K53" i="18" s="1"/>
  <c r="H22" i="18"/>
  <c r="K22" i="18" s="1"/>
  <c r="H163" i="18"/>
  <c r="K163" i="18" s="1"/>
  <c r="H149" i="18"/>
  <c r="K149" i="18" s="1"/>
  <c r="H108" i="18"/>
  <c r="K108" i="18" s="1"/>
  <c r="H132" i="18"/>
  <c r="K132" i="18" s="1"/>
  <c r="H24" i="18"/>
  <c r="K24" i="18" s="1"/>
  <c r="H86" i="18"/>
  <c r="K86" i="18" s="1"/>
  <c r="H178" i="18"/>
  <c r="K178" i="18" s="1"/>
  <c r="H76" i="18"/>
  <c r="K76" i="18" s="1"/>
  <c r="H52" i="18"/>
  <c r="K52" i="18" s="1"/>
  <c r="H82" i="18"/>
  <c r="K82" i="18" s="1"/>
  <c r="H188" i="18"/>
  <c r="K188" i="18" s="1"/>
  <c r="H93" i="18"/>
  <c r="K93" i="18" s="1"/>
  <c r="H36" i="18"/>
  <c r="K36" i="18" s="1"/>
  <c r="H159" i="18"/>
  <c r="K159" i="18" s="1"/>
  <c r="H98" i="18"/>
  <c r="K98" i="18" s="1"/>
  <c r="H197" i="18"/>
  <c r="K197" i="18" s="1"/>
  <c r="H208" i="18"/>
  <c r="K208" i="18" s="1"/>
  <c r="H130" i="18"/>
  <c r="K130" i="18" s="1"/>
  <c r="H58" i="18"/>
  <c r="K58" i="18" s="1"/>
  <c r="H156" i="18"/>
  <c r="K156" i="18" s="1"/>
  <c r="H157" i="18"/>
  <c r="K157" i="18" s="1"/>
  <c r="H44" i="18"/>
  <c r="K44" i="18" s="1"/>
  <c r="H192" i="18"/>
  <c r="K192" i="18" s="1"/>
  <c r="H168" i="18"/>
  <c r="K168" i="18" s="1"/>
  <c r="H169" i="18"/>
  <c r="K169" i="18" s="1"/>
  <c r="E13" i="29"/>
  <c r="H170" i="18"/>
  <c r="K170" i="18" s="1"/>
  <c r="H33" i="18"/>
  <c r="K33" i="18" s="1"/>
  <c r="H75" i="18"/>
  <c r="K75" i="18" s="1"/>
  <c r="H131" i="18"/>
  <c r="K131" i="18" s="1"/>
  <c r="H184" i="18"/>
  <c r="K184" i="18" s="1"/>
  <c r="H48" i="18"/>
  <c r="K48" i="18" s="1"/>
  <c r="H118" i="18"/>
  <c r="K118" i="18" s="1"/>
  <c r="H119" i="18"/>
  <c r="K119" i="18" s="1"/>
  <c r="H162" i="18"/>
  <c r="K162" i="18" s="1"/>
  <c r="H191" i="18"/>
  <c r="K191" i="18" s="1"/>
  <c r="H71" i="18"/>
  <c r="K71" i="18" s="1"/>
  <c r="H190" i="18"/>
  <c r="K190" i="18" s="1"/>
  <c r="H35" i="18"/>
  <c r="K35" i="18" s="1"/>
  <c r="H179" i="18"/>
  <c r="K179" i="18" s="1"/>
  <c r="H150" i="18"/>
  <c r="K150" i="18" s="1"/>
  <c r="H79" i="18"/>
  <c r="K79" i="18" s="1"/>
  <c r="H21" i="18"/>
  <c r="K21" i="18" s="1"/>
  <c r="H67" i="18"/>
  <c r="K67" i="18" s="1"/>
  <c r="H154" i="18"/>
  <c r="K154" i="18" s="1"/>
  <c r="H177" i="18"/>
  <c r="K177" i="18" s="1"/>
  <c r="H201" i="18"/>
  <c r="K201" i="18" s="1"/>
  <c r="H114" i="18"/>
  <c r="K114" i="18" s="1"/>
  <c r="H96" i="18"/>
  <c r="K96" i="18" s="1"/>
  <c r="H153" i="18"/>
  <c r="K153" i="18" s="1"/>
  <c r="H180" i="18"/>
  <c r="K180" i="18" s="1"/>
  <c r="H115" i="18"/>
  <c r="K115" i="18" s="1"/>
  <c r="H142" i="18"/>
  <c r="K142" i="18" s="1"/>
  <c r="H37" i="18"/>
  <c r="K37" i="18" s="1"/>
  <c r="H28" i="18"/>
  <c r="K28" i="18" s="1"/>
  <c r="H126" i="18"/>
  <c r="K126" i="18" s="1"/>
  <c r="H164" i="18"/>
  <c r="K164" i="18" s="1"/>
  <c r="H91" i="18"/>
  <c r="K91" i="18" s="1"/>
  <c r="H42" i="18"/>
  <c r="K42" i="18" s="1"/>
  <c r="H85" i="18"/>
  <c r="K85" i="18" s="1"/>
  <c r="H161" i="18"/>
  <c r="K161" i="18" s="1"/>
  <c r="H160" i="18"/>
  <c r="K160" i="18" s="1"/>
  <c r="H140" i="18"/>
  <c r="K140" i="18" s="1"/>
  <c r="H43" i="18"/>
  <c r="K43" i="18" s="1"/>
  <c r="H186" i="18"/>
  <c r="K186" i="18" s="1"/>
  <c r="H172" i="18"/>
  <c r="K172" i="18" s="1"/>
  <c r="H90" i="18"/>
  <c r="K90" i="18" s="1"/>
  <c r="H127" i="18"/>
  <c r="K127" i="18" s="1"/>
  <c r="H23" i="18"/>
  <c r="K23" i="18" s="1"/>
  <c r="H185" i="18"/>
  <c r="K185" i="18" s="1"/>
  <c r="H83" i="18"/>
  <c r="K83" i="18" s="1"/>
  <c r="H181" i="18"/>
  <c r="K181" i="18" s="1"/>
  <c r="H97" i="18"/>
  <c r="K97" i="18" s="1"/>
  <c r="H27" i="18"/>
  <c r="K27" i="18" s="1"/>
  <c r="H25" i="18"/>
  <c r="K25" i="18" s="1"/>
  <c r="H124" i="18"/>
  <c r="K124" i="18" s="1"/>
  <c r="H74" i="18"/>
  <c r="K74" i="18" s="1"/>
  <c r="H29" i="18"/>
  <c r="K29" i="18" s="1"/>
  <c r="H202" i="18"/>
  <c r="K202" i="18" s="1"/>
  <c r="H123" i="18"/>
  <c r="K123" i="18" s="1"/>
  <c r="H158" i="18"/>
  <c r="K158" i="18" s="1"/>
  <c r="H66" i="18"/>
  <c r="K66" i="18" s="1"/>
  <c r="H20" i="18"/>
  <c r="K20" i="18" s="1"/>
  <c r="H88" i="18"/>
  <c r="K88" i="18" s="1"/>
  <c r="H128" i="18"/>
  <c r="K128" i="18" s="1"/>
  <c r="H200" i="18"/>
  <c r="K200" i="18" s="1"/>
  <c r="H61" i="18"/>
  <c r="K61" i="18" s="1"/>
  <c r="H198" i="18"/>
  <c r="K198" i="18" s="1"/>
  <c r="H155" i="18"/>
  <c r="K155" i="18" s="1"/>
  <c r="H134" i="18"/>
  <c r="K134" i="18" s="1"/>
  <c r="H206" i="18"/>
  <c r="K206" i="18" s="1"/>
  <c r="H136" i="18"/>
  <c r="K136" i="18" s="1"/>
  <c r="H195" i="18"/>
  <c r="K195" i="18" s="1"/>
  <c r="H113" i="18"/>
  <c r="K113" i="18" s="1"/>
  <c r="H62" i="18"/>
  <c r="K62" i="18" s="1"/>
  <c r="H189" i="18"/>
  <c r="K189" i="18" s="1"/>
  <c r="H68" i="18"/>
  <c r="K68" i="18" s="1"/>
  <c r="H81" i="18"/>
  <c r="K81" i="18" s="1"/>
  <c r="H148" i="18"/>
  <c r="K148" i="18" s="1"/>
  <c r="H203" i="18"/>
  <c r="K203" i="18" s="1"/>
  <c r="H151" i="18"/>
  <c r="K151" i="18" s="1"/>
  <c r="H171" i="18"/>
  <c r="K171" i="18" s="1"/>
  <c r="H182" i="18"/>
  <c r="K182" i="18" s="1"/>
  <c r="H147" i="18"/>
  <c r="K147" i="18" s="1"/>
  <c r="K14" i="18" l="1"/>
  <c r="K212" i="18"/>
  <c r="K13" i="18"/>
  <c r="F12" i="29" l="1"/>
  <c r="M124" i="18" l="1"/>
  <c r="M50" i="18"/>
  <c r="M121" i="18"/>
  <c r="M104" i="18"/>
  <c r="M140" i="18"/>
  <c r="M116" i="18"/>
  <c r="M92" i="18"/>
  <c r="M114" i="18"/>
  <c r="M57" i="18"/>
  <c r="M115" i="18"/>
  <c r="M189" i="18"/>
  <c r="M138" i="18"/>
  <c r="M130" i="18"/>
  <c r="M108" i="18"/>
  <c r="M145" i="18"/>
  <c r="M161" i="18"/>
  <c r="M123" i="18"/>
  <c r="M201" i="18"/>
  <c r="M39" i="18"/>
  <c r="M119" i="18"/>
  <c r="M156" i="18"/>
  <c r="M90" i="18"/>
  <c r="M55" i="18"/>
  <c r="M160" i="18"/>
  <c r="M122" i="18"/>
  <c r="M206" i="18"/>
  <c r="M196" i="18"/>
  <c r="M157" i="18"/>
  <c r="M87" i="18"/>
  <c r="M197" i="18"/>
  <c r="M26" i="18"/>
  <c r="M33" i="18"/>
  <c r="M180" i="18"/>
  <c r="M132" i="18"/>
  <c r="M77" i="18"/>
  <c r="M78" i="18"/>
  <c r="M43" i="18"/>
  <c r="M34" i="18"/>
  <c r="M162" i="18"/>
  <c r="M54" i="18"/>
  <c r="M31" i="18"/>
  <c r="M79" i="18"/>
  <c r="M175" i="18"/>
  <c r="M113" i="18"/>
  <c r="M66" i="18"/>
  <c r="M127" i="18"/>
  <c r="M47" i="18"/>
  <c r="M192" i="18"/>
  <c r="M83" i="18"/>
  <c r="M65" i="18"/>
  <c r="M61" i="18"/>
  <c r="M71" i="18"/>
  <c r="M120" i="18"/>
  <c r="M188" i="18"/>
  <c r="M62" i="18"/>
  <c r="M30" i="18"/>
  <c r="M100" i="18"/>
  <c r="M158" i="18"/>
  <c r="M146" i="18"/>
  <c r="M38" i="18"/>
  <c r="M126" i="18"/>
  <c r="M24" i="18"/>
  <c r="M86" i="18"/>
  <c r="M28" i="18"/>
  <c r="M67" i="18"/>
  <c r="M98" i="18"/>
  <c r="M64" i="18"/>
  <c r="M93" i="18"/>
  <c r="M73" i="18"/>
  <c r="M27" i="18"/>
  <c r="M91" i="18"/>
  <c r="M181" i="18"/>
  <c r="M21" i="18"/>
  <c r="M198" i="18"/>
  <c r="M210" i="18"/>
  <c r="M129" i="18"/>
  <c r="M128" i="18"/>
  <c r="M84" i="18"/>
  <c r="M75" i="18"/>
  <c r="M148" i="18"/>
  <c r="M59" i="18"/>
  <c r="M29" i="18"/>
  <c r="M200" i="18"/>
  <c r="M63" i="18"/>
  <c r="M96" i="18"/>
  <c r="M155" i="18"/>
  <c r="M32" i="18"/>
  <c r="M179" i="18"/>
  <c r="M184" i="18"/>
  <c r="M153" i="18"/>
  <c r="M186" i="18"/>
  <c r="M102" i="18"/>
  <c r="M107" i="18"/>
  <c r="M195" i="18"/>
  <c r="M178" i="18"/>
  <c r="M99" i="18"/>
  <c r="M118" i="18"/>
  <c r="M149" i="18"/>
  <c r="M133" i="18"/>
  <c r="M85" i="18"/>
  <c r="M163" i="18"/>
  <c r="M134" i="18"/>
  <c r="M125" i="18"/>
  <c r="M105" i="18"/>
  <c r="M23" i="18"/>
  <c r="M208" i="18"/>
  <c r="M46" i="18"/>
  <c r="M169" i="18"/>
  <c r="M199" i="18"/>
  <c r="M159" i="18"/>
  <c r="M194" i="18"/>
  <c r="M81" i="18"/>
  <c r="M117" i="18"/>
  <c r="M187" i="18"/>
  <c r="M203" i="18"/>
  <c r="M165" i="18"/>
  <c r="M131" i="18"/>
  <c r="M74" i="18"/>
  <c r="M45" i="18"/>
  <c r="M139" i="18"/>
  <c r="M97" i="18"/>
  <c r="M204" i="18"/>
  <c r="M173" i="18"/>
  <c r="M135" i="18"/>
  <c r="M168" i="18"/>
  <c r="M171" i="18"/>
  <c r="M172" i="18"/>
  <c r="M52" i="18"/>
  <c r="M35" i="18"/>
  <c r="M51" i="18"/>
  <c r="M202" i="18"/>
  <c r="M185" i="18"/>
  <c r="M44" i="18"/>
  <c r="M22" i="18"/>
  <c r="M112" i="18"/>
  <c r="M137" i="18"/>
  <c r="M182" i="18"/>
  <c r="M95" i="18"/>
  <c r="M25" i="18"/>
  <c r="M49" i="18"/>
  <c r="M209" i="18"/>
  <c r="M68" i="18"/>
  <c r="M176" i="18"/>
  <c r="M193" i="18"/>
  <c r="M142" i="18"/>
  <c r="M110" i="18"/>
  <c r="M211" i="18"/>
  <c r="M164" i="18"/>
  <c r="M191" i="18"/>
  <c r="M205" i="18"/>
  <c r="M37" i="18"/>
  <c r="M207" i="18"/>
  <c r="M167" i="18"/>
  <c r="M88" i="18"/>
  <c r="M82" i="18"/>
  <c r="M109" i="18"/>
  <c r="M53" i="18"/>
  <c r="M177" i="18"/>
  <c r="M69" i="18"/>
  <c r="M144" i="18"/>
  <c r="M40" i="18"/>
  <c r="M103" i="18"/>
  <c r="M150" i="18"/>
  <c r="M166" i="18"/>
  <c r="M70" i="18"/>
  <c r="M147" i="18"/>
  <c r="M41" i="18"/>
  <c r="M152" i="18"/>
  <c r="M183" i="18"/>
  <c r="M190" i="18"/>
  <c r="M56" i="18"/>
  <c r="M141" i="18"/>
  <c r="M151" i="18"/>
  <c r="M101" i="18"/>
  <c r="M36" i="18"/>
  <c r="M111" i="18"/>
  <c r="M106" i="18"/>
  <c r="M174" i="18"/>
  <c r="M94" i="18"/>
  <c r="M80" i="18"/>
  <c r="M20" i="18"/>
  <c r="M72" i="18"/>
  <c r="M89" i="18"/>
  <c r="M48" i="18"/>
  <c r="M154" i="18"/>
  <c r="M76" i="18"/>
  <c r="M170" i="18" l="1"/>
  <c r="M42" i="18"/>
  <c r="M143" i="18"/>
  <c r="M60" i="18"/>
  <c r="M136" i="18"/>
  <c r="M58" i="18"/>
  <c r="M212" i="18"/>
  <c r="M13" i="18"/>
  <c r="I155" i="18" l="1"/>
  <c r="J155" i="18" s="1"/>
  <c r="L155" i="18" s="1"/>
  <c r="N155" i="18" s="1"/>
  <c r="R155" i="18" s="1"/>
  <c r="I68" i="18"/>
  <c r="J68" i="18" s="1"/>
  <c r="L68" i="18" s="1"/>
  <c r="N68" i="18" s="1"/>
  <c r="R68" i="18" s="1"/>
  <c r="I107" i="18"/>
  <c r="J107" i="18" s="1"/>
  <c r="L107" i="18" s="1"/>
  <c r="N107" i="18" s="1"/>
  <c r="R107" i="18" s="1"/>
  <c r="I162" i="18"/>
  <c r="J162" i="18" s="1"/>
  <c r="L162" i="18" s="1"/>
  <c r="N162" i="18" s="1"/>
  <c r="R162" i="18" s="1"/>
  <c r="I92" i="18"/>
  <c r="J92" i="18" s="1"/>
  <c r="L92" i="18" s="1"/>
  <c r="N92" i="18" s="1"/>
  <c r="R92" i="18" s="1"/>
  <c r="I132" i="18"/>
  <c r="J132" i="18" s="1"/>
  <c r="L132" i="18" s="1"/>
  <c r="N132" i="18" s="1"/>
  <c r="R132" i="18" s="1"/>
  <c r="I23" i="18"/>
  <c r="J23" i="18" s="1"/>
  <c r="L23" i="18" s="1"/>
  <c r="N23" i="18" s="1"/>
  <c r="R23" i="18" s="1"/>
  <c r="I83" i="18"/>
  <c r="J83" i="18" s="1"/>
  <c r="L83" i="18" s="1"/>
  <c r="N83" i="18" s="1"/>
  <c r="R83" i="18" s="1"/>
  <c r="I168" i="18"/>
  <c r="J168" i="18" s="1"/>
  <c r="L168" i="18" s="1"/>
  <c r="N168" i="18" s="1"/>
  <c r="R168" i="18" s="1"/>
  <c r="I72" i="18"/>
  <c r="J72" i="18" s="1"/>
  <c r="L72" i="18" s="1"/>
  <c r="N72" i="18" s="1"/>
  <c r="R72" i="18" s="1"/>
  <c r="I121" i="18"/>
  <c r="J121" i="18" s="1"/>
  <c r="L121" i="18" s="1"/>
  <c r="N121" i="18" s="1"/>
  <c r="R121" i="18" s="1"/>
  <c r="I166" i="18"/>
  <c r="J166" i="18" s="1"/>
  <c r="L166" i="18" s="1"/>
  <c r="N166" i="18" s="1"/>
  <c r="R166" i="18" s="1"/>
  <c r="I96" i="18"/>
  <c r="J96" i="18" s="1"/>
  <c r="L96" i="18" s="1"/>
  <c r="N96" i="18" s="1"/>
  <c r="R96" i="18" s="1"/>
  <c r="I48" i="18"/>
  <c r="J48" i="18" s="1"/>
  <c r="L48" i="18" s="1"/>
  <c r="N48" i="18" s="1"/>
  <c r="R48" i="18" s="1"/>
  <c r="I81" i="18"/>
  <c r="J81" i="18" s="1"/>
  <c r="L81" i="18" s="1"/>
  <c r="N81" i="18" s="1"/>
  <c r="R81" i="18" s="1"/>
  <c r="I106" i="18"/>
  <c r="J106" i="18" s="1"/>
  <c r="L106" i="18" s="1"/>
  <c r="N106" i="18" s="1"/>
  <c r="R106" i="18" s="1"/>
  <c r="I170" i="18"/>
  <c r="J170" i="18" s="1"/>
  <c r="L170" i="18" s="1"/>
  <c r="N170" i="18" s="1"/>
  <c r="R170" i="18" s="1"/>
  <c r="I74" i="18"/>
  <c r="J74" i="18" s="1"/>
  <c r="L74" i="18" s="1"/>
  <c r="N74" i="18" s="1"/>
  <c r="R74" i="18" s="1"/>
  <c r="I171" i="18"/>
  <c r="J171" i="18" s="1"/>
  <c r="L171" i="18" s="1"/>
  <c r="N171" i="18" s="1"/>
  <c r="R171" i="18" s="1"/>
  <c r="I126" i="18"/>
  <c r="J126" i="18" s="1"/>
  <c r="L126" i="18" s="1"/>
  <c r="N126" i="18" s="1"/>
  <c r="R126" i="18" s="1"/>
  <c r="I154" i="18"/>
  <c r="J154" i="18" s="1"/>
  <c r="L154" i="18" s="1"/>
  <c r="N154" i="18" s="1"/>
  <c r="R154" i="18" s="1"/>
  <c r="I201" i="18"/>
  <c r="J201" i="18" s="1"/>
  <c r="L201" i="18" s="1"/>
  <c r="N201" i="18" s="1"/>
  <c r="R201" i="18" s="1"/>
  <c r="I77" i="18"/>
  <c r="J77" i="18" s="1"/>
  <c r="L77" i="18" s="1"/>
  <c r="N77" i="18" s="1"/>
  <c r="R77" i="18" s="1"/>
  <c r="I159" i="18"/>
  <c r="J159" i="18" s="1"/>
  <c r="L159" i="18" s="1"/>
  <c r="N159" i="18" s="1"/>
  <c r="R159" i="18" s="1"/>
  <c r="I61" i="18"/>
  <c r="J61" i="18" s="1"/>
  <c r="L61" i="18" s="1"/>
  <c r="N61" i="18" s="1"/>
  <c r="R61" i="18" s="1"/>
  <c r="I124" i="18"/>
  <c r="J124" i="18" s="1"/>
  <c r="L124" i="18" s="1"/>
  <c r="N124" i="18" s="1"/>
  <c r="R124" i="18" s="1"/>
  <c r="I125" i="18"/>
  <c r="J125" i="18" s="1"/>
  <c r="L125" i="18" s="1"/>
  <c r="N125" i="18" s="1"/>
  <c r="R125" i="18" s="1"/>
  <c r="I195" i="18"/>
  <c r="J195" i="18" s="1"/>
  <c r="L195" i="18" s="1"/>
  <c r="N195" i="18" s="1"/>
  <c r="R195" i="18" s="1"/>
  <c r="I150" i="18"/>
  <c r="J150" i="18" s="1"/>
  <c r="L150" i="18" s="1"/>
  <c r="N150" i="18" s="1"/>
  <c r="R150" i="18" s="1"/>
  <c r="I191" i="18"/>
  <c r="J191" i="18" s="1"/>
  <c r="L191" i="18" s="1"/>
  <c r="N191" i="18" s="1"/>
  <c r="R191" i="18" s="1"/>
  <c r="I180" i="18"/>
  <c r="J180" i="18" s="1"/>
  <c r="L180" i="18" s="1"/>
  <c r="N180" i="18" s="1"/>
  <c r="R180" i="18" s="1"/>
  <c r="I163" i="18"/>
  <c r="J163" i="18" s="1"/>
  <c r="L163" i="18" s="1"/>
  <c r="N163" i="18" s="1"/>
  <c r="R163" i="18" s="1"/>
  <c r="I104" i="18"/>
  <c r="J104" i="18" s="1"/>
  <c r="L104" i="18" s="1"/>
  <c r="N104" i="18" s="1"/>
  <c r="R104" i="18" s="1"/>
  <c r="I49" i="18"/>
  <c r="J49" i="18" s="1"/>
  <c r="L49" i="18" s="1"/>
  <c r="N49" i="18" s="1"/>
  <c r="R49" i="18" s="1"/>
  <c r="I66" i="18"/>
  <c r="J66" i="18" s="1"/>
  <c r="L66" i="18" s="1"/>
  <c r="N66" i="18" s="1"/>
  <c r="R66" i="18" s="1"/>
  <c r="I87" i="18"/>
  <c r="J87" i="18" s="1"/>
  <c r="L87" i="18" s="1"/>
  <c r="N87" i="18" s="1"/>
  <c r="R87" i="18" s="1"/>
  <c r="I65" i="18"/>
  <c r="J65" i="18" s="1"/>
  <c r="L65" i="18" s="1"/>
  <c r="N65" i="18" s="1"/>
  <c r="R65" i="18" s="1"/>
  <c r="I136" i="18"/>
  <c r="J136" i="18" s="1"/>
  <c r="L136" i="18" s="1"/>
  <c r="N136" i="18" s="1"/>
  <c r="R136" i="18" s="1"/>
  <c r="I67" i="18"/>
  <c r="J67" i="18" s="1"/>
  <c r="L67" i="18" s="1"/>
  <c r="N67" i="18" s="1"/>
  <c r="R67" i="18" s="1"/>
  <c r="I20" i="18"/>
  <c r="J20" i="18" s="1"/>
  <c r="I99" i="18"/>
  <c r="J99" i="18" s="1"/>
  <c r="L99" i="18" s="1"/>
  <c r="N99" i="18" s="1"/>
  <c r="R99" i="18" s="1"/>
  <c r="I185" i="18"/>
  <c r="J185" i="18" s="1"/>
  <c r="L185" i="18" s="1"/>
  <c r="N185" i="18" s="1"/>
  <c r="R185" i="18" s="1"/>
  <c r="I26" i="18"/>
  <c r="J26" i="18" s="1"/>
  <c r="L26" i="18" s="1"/>
  <c r="N26" i="18" s="1"/>
  <c r="R26" i="18" s="1"/>
  <c r="I76" i="18"/>
  <c r="J76" i="18" s="1"/>
  <c r="L76" i="18" s="1"/>
  <c r="N76" i="18" s="1"/>
  <c r="R76" i="18" s="1"/>
  <c r="I103" i="18"/>
  <c r="J103" i="18" s="1"/>
  <c r="L103" i="18" s="1"/>
  <c r="N103" i="18" s="1"/>
  <c r="R103" i="18" s="1"/>
  <c r="I145" i="18"/>
  <c r="J145" i="18" s="1"/>
  <c r="L145" i="18" s="1"/>
  <c r="N145" i="18" s="1"/>
  <c r="R145" i="18" s="1"/>
  <c r="I151" i="18"/>
  <c r="J151" i="18" s="1"/>
  <c r="L151" i="18" s="1"/>
  <c r="N151" i="18" s="1"/>
  <c r="R151" i="18" s="1"/>
  <c r="I192" i="18"/>
  <c r="J192" i="18" s="1"/>
  <c r="L192" i="18" s="1"/>
  <c r="N192" i="18" s="1"/>
  <c r="R192" i="18" s="1"/>
  <c r="I63" i="18"/>
  <c r="J63" i="18" s="1"/>
  <c r="L63" i="18" s="1"/>
  <c r="N63" i="18" s="1"/>
  <c r="R63" i="18" s="1"/>
  <c r="I62" i="18"/>
  <c r="J62" i="18" s="1"/>
  <c r="L62" i="18" s="1"/>
  <c r="N62" i="18" s="1"/>
  <c r="R62" i="18" s="1"/>
  <c r="I80" i="18"/>
  <c r="J80" i="18" s="1"/>
  <c r="L80" i="18" s="1"/>
  <c r="N80" i="18" s="1"/>
  <c r="R80" i="18" s="1"/>
  <c r="I206" i="18"/>
  <c r="J206" i="18" s="1"/>
  <c r="L206" i="18" s="1"/>
  <c r="N206" i="18" s="1"/>
  <c r="R206" i="18" s="1"/>
  <c r="I84" i="18"/>
  <c r="J84" i="18" s="1"/>
  <c r="L84" i="18" s="1"/>
  <c r="N84" i="18" s="1"/>
  <c r="R84" i="18" s="1"/>
  <c r="I45" i="18"/>
  <c r="J45" i="18" s="1"/>
  <c r="L45" i="18" s="1"/>
  <c r="N45" i="18" s="1"/>
  <c r="R45" i="18" s="1"/>
  <c r="I119" i="18"/>
  <c r="J119" i="18" s="1"/>
  <c r="L119" i="18" s="1"/>
  <c r="N119" i="18" s="1"/>
  <c r="R119" i="18" s="1"/>
  <c r="I158" i="18"/>
  <c r="J158" i="18" s="1"/>
  <c r="L158" i="18" s="1"/>
  <c r="N158" i="18" s="1"/>
  <c r="R158" i="18" s="1"/>
  <c r="I139" i="18"/>
  <c r="J139" i="18" s="1"/>
  <c r="L139" i="18" s="1"/>
  <c r="N139" i="18" s="1"/>
  <c r="R139" i="18" s="1"/>
  <c r="I32" i="18"/>
  <c r="J32" i="18" s="1"/>
  <c r="L32" i="18" s="1"/>
  <c r="N32" i="18" s="1"/>
  <c r="R32" i="18" s="1"/>
  <c r="I100" i="18"/>
  <c r="J100" i="18" s="1"/>
  <c r="L100" i="18" s="1"/>
  <c r="N100" i="18" s="1"/>
  <c r="R100" i="18" s="1"/>
  <c r="I131" i="18"/>
  <c r="J131" i="18" s="1"/>
  <c r="L131" i="18" s="1"/>
  <c r="N131" i="18" s="1"/>
  <c r="R131" i="18" s="1"/>
  <c r="I127" i="18"/>
  <c r="J127" i="18" s="1"/>
  <c r="L127" i="18" s="1"/>
  <c r="N127" i="18" s="1"/>
  <c r="R127" i="18" s="1"/>
  <c r="I186" i="18"/>
  <c r="J186" i="18" s="1"/>
  <c r="L186" i="18" s="1"/>
  <c r="N186" i="18" s="1"/>
  <c r="R186" i="18" s="1"/>
  <c r="I70" i="18"/>
  <c r="J70" i="18" s="1"/>
  <c r="L70" i="18" s="1"/>
  <c r="N70" i="18" s="1"/>
  <c r="R70" i="18" s="1"/>
  <c r="I21" i="18"/>
  <c r="J21" i="18" s="1"/>
  <c r="L21" i="18" s="1"/>
  <c r="N21" i="18" s="1"/>
  <c r="R21" i="18" s="1"/>
  <c r="I204" i="18"/>
  <c r="J204" i="18" s="1"/>
  <c r="L204" i="18" s="1"/>
  <c r="N204" i="18" s="1"/>
  <c r="R204" i="18" s="1"/>
  <c r="I109" i="18"/>
  <c r="J109" i="18" s="1"/>
  <c r="L109" i="18" s="1"/>
  <c r="N109" i="18" s="1"/>
  <c r="R109" i="18" s="1"/>
  <c r="I85" i="18"/>
  <c r="J85" i="18" s="1"/>
  <c r="L85" i="18" s="1"/>
  <c r="N85" i="18" s="1"/>
  <c r="R85" i="18" s="1"/>
  <c r="I42" i="18"/>
  <c r="J42" i="18" s="1"/>
  <c r="L42" i="18" s="1"/>
  <c r="N42" i="18" s="1"/>
  <c r="R42" i="18" s="1"/>
  <c r="I116" i="18"/>
  <c r="J116" i="18" s="1"/>
  <c r="L116" i="18" s="1"/>
  <c r="N116" i="18" s="1"/>
  <c r="R116" i="18" s="1"/>
  <c r="I98" i="18"/>
  <c r="J98" i="18" s="1"/>
  <c r="L98" i="18" s="1"/>
  <c r="N98" i="18" s="1"/>
  <c r="R98" i="18" s="1"/>
  <c r="I44" i="18"/>
  <c r="J44" i="18" s="1"/>
  <c r="L44" i="18" s="1"/>
  <c r="N44" i="18" s="1"/>
  <c r="R44" i="18" s="1"/>
  <c r="I177" i="18"/>
  <c r="J177" i="18" s="1"/>
  <c r="L177" i="18" s="1"/>
  <c r="N177" i="18" s="1"/>
  <c r="R177" i="18" s="1"/>
  <c r="I114" i="18"/>
  <c r="J114" i="18" s="1"/>
  <c r="L114" i="18" s="1"/>
  <c r="N114" i="18" s="1"/>
  <c r="R114" i="18" s="1"/>
  <c r="I91" i="18"/>
  <c r="J91" i="18" s="1"/>
  <c r="L91" i="18" s="1"/>
  <c r="N91" i="18" s="1"/>
  <c r="R91" i="18" s="1"/>
  <c r="I35" i="18"/>
  <c r="J35" i="18" s="1"/>
  <c r="L35" i="18" s="1"/>
  <c r="N35" i="18" s="1"/>
  <c r="R35" i="18" s="1"/>
  <c r="I198" i="18"/>
  <c r="J198" i="18" s="1"/>
  <c r="L198" i="18" s="1"/>
  <c r="N198" i="18" s="1"/>
  <c r="R198" i="18" s="1"/>
  <c r="I111" i="18"/>
  <c r="J111" i="18" s="1"/>
  <c r="L111" i="18" s="1"/>
  <c r="N111" i="18" s="1"/>
  <c r="R111" i="18" s="1"/>
  <c r="I39" i="18"/>
  <c r="J39" i="18" s="1"/>
  <c r="L39" i="18" s="1"/>
  <c r="N39" i="18" s="1"/>
  <c r="R39" i="18" s="1"/>
  <c r="I202" i="18"/>
  <c r="J202" i="18" s="1"/>
  <c r="L202" i="18" s="1"/>
  <c r="N202" i="18" s="1"/>
  <c r="R202" i="18" s="1"/>
  <c r="I142" i="18"/>
  <c r="J142" i="18" s="1"/>
  <c r="L142" i="18" s="1"/>
  <c r="N142" i="18" s="1"/>
  <c r="R142" i="18" s="1"/>
  <c r="I149" i="18"/>
  <c r="J149" i="18" s="1"/>
  <c r="L149" i="18" s="1"/>
  <c r="N149" i="18" s="1"/>
  <c r="R149" i="18" s="1"/>
  <c r="I47" i="18"/>
  <c r="J47" i="18" s="1"/>
  <c r="L47" i="18" s="1"/>
  <c r="N47" i="18" s="1"/>
  <c r="R47" i="18" s="1"/>
  <c r="I73" i="18"/>
  <c r="J73" i="18" s="1"/>
  <c r="L73" i="18" s="1"/>
  <c r="N73" i="18" s="1"/>
  <c r="R73" i="18" s="1"/>
  <c r="I22" i="18"/>
  <c r="J22" i="18" s="1"/>
  <c r="L22" i="18" s="1"/>
  <c r="N22" i="18" s="1"/>
  <c r="R22" i="18" s="1"/>
  <c r="I143" i="18"/>
  <c r="J143" i="18" s="1"/>
  <c r="L143" i="18" s="1"/>
  <c r="N143" i="18" s="1"/>
  <c r="R143" i="18" s="1"/>
  <c r="I140" i="18"/>
  <c r="J140" i="18" s="1"/>
  <c r="L140" i="18" s="1"/>
  <c r="N140" i="18" s="1"/>
  <c r="R140" i="18" s="1"/>
  <c r="I40" i="18"/>
  <c r="J40" i="18" s="1"/>
  <c r="L40" i="18" s="1"/>
  <c r="N40" i="18" s="1"/>
  <c r="R40" i="18" s="1"/>
  <c r="I200" i="18"/>
  <c r="J200" i="18" s="1"/>
  <c r="L200" i="18" s="1"/>
  <c r="N200" i="18" s="1"/>
  <c r="R200" i="18" s="1"/>
  <c r="I130" i="18"/>
  <c r="J130" i="18" s="1"/>
  <c r="L130" i="18" s="1"/>
  <c r="N130" i="18" s="1"/>
  <c r="R130" i="18" s="1"/>
  <c r="I79" i="18"/>
  <c r="J79" i="18" s="1"/>
  <c r="L79" i="18" s="1"/>
  <c r="N79" i="18" s="1"/>
  <c r="R79" i="18" s="1"/>
  <c r="I51" i="18"/>
  <c r="J51" i="18" s="1"/>
  <c r="L51" i="18" s="1"/>
  <c r="N51" i="18" s="1"/>
  <c r="R51" i="18" s="1"/>
  <c r="I156" i="18"/>
  <c r="J156" i="18" s="1"/>
  <c r="L156" i="18" s="1"/>
  <c r="N156" i="18" s="1"/>
  <c r="R156" i="18" s="1"/>
  <c r="I205" i="18"/>
  <c r="J205" i="18" s="1"/>
  <c r="L205" i="18" s="1"/>
  <c r="N205" i="18" s="1"/>
  <c r="R205" i="18" s="1"/>
  <c r="I33" i="18"/>
  <c r="J33" i="18" s="1"/>
  <c r="L33" i="18" s="1"/>
  <c r="N33" i="18" s="1"/>
  <c r="R33" i="18" s="1"/>
  <c r="I64" i="18"/>
  <c r="J64" i="18" s="1"/>
  <c r="L64" i="18" s="1"/>
  <c r="N64" i="18" s="1"/>
  <c r="R64" i="18" s="1"/>
  <c r="I181" i="18"/>
  <c r="J181" i="18" s="1"/>
  <c r="L181" i="18" s="1"/>
  <c r="N181" i="18" s="1"/>
  <c r="R181" i="18" s="1"/>
  <c r="I134" i="18"/>
  <c r="J134" i="18" s="1"/>
  <c r="L134" i="18" s="1"/>
  <c r="N134" i="18" s="1"/>
  <c r="R134" i="18" s="1"/>
  <c r="I210" i="18"/>
  <c r="J210" i="18" s="1"/>
  <c r="L210" i="18" s="1"/>
  <c r="N210" i="18" s="1"/>
  <c r="R210" i="18" s="1"/>
  <c r="I46" i="18"/>
  <c r="J46" i="18" s="1"/>
  <c r="L46" i="18" s="1"/>
  <c r="N46" i="18" s="1"/>
  <c r="R46" i="18" s="1"/>
  <c r="I211" i="18"/>
  <c r="J211" i="18" s="1"/>
  <c r="L211" i="18" s="1"/>
  <c r="N211" i="18" s="1"/>
  <c r="R211" i="18" s="1"/>
  <c r="I178" i="18"/>
  <c r="J178" i="18" s="1"/>
  <c r="L178" i="18" s="1"/>
  <c r="N178" i="18" s="1"/>
  <c r="R178" i="18" s="1"/>
  <c r="I95" i="18"/>
  <c r="J95" i="18" s="1"/>
  <c r="L95" i="18" s="1"/>
  <c r="N95" i="18" s="1"/>
  <c r="R95" i="18" s="1"/>
  <c r="I189" i="18"/>
  <c r="J189" i="18" s="1"/>
  <c r="L189" i="18" s="1"/>
  <c r="N189" i="18" s="1"/>
  <c r="R189" i="18" s="1"/>
  <c r="I188" i="18"/>
  <c r="J188" i="18" s="1"/>
  <c r="L188" i="18" s="1"/>
  <c r="N188" i="18" s="1"/>
  <c r="R188" i="18" s="1"/>
  <c r="I110" i="18"/>
  <c r="J110" i="18" s="1"/>
  <c r="L110" i="18" s="1"/>
  <c r="N110" i="18" s="1"/>
  <c r="R110" i="18" s="1"/>
  <c r="I36" i="18"/>
  <c r="J36" i="18" s="1"/>
  <c r="L36" i="18" s="1"/>
  <c r="N36" i="18" s="1"/>
  <c r="R36" i="18" s="1"/>
  <c r="I38" i="18"/>
  <c r="J38" i="18" s="1"/>
  <c r="L38" i="18" s="1"/>
  <c r="N38" i="18" s="1"/>
  <c r="R38" i="18" s="1"/>
  <c r="I53" i="18"/>
  <c r="J53" i="18" s="1"/>
  <c r="L53" i="18" s="1"/>
  <c r="N53" i="18" s="1"/>
  <c r="R53" i="18" s="1"/>
  <c r="I97" i="18"/>
  <c r="J97" i="18" s="1"/>
  <c r="L97" i="18" s="1"/>
  <c r="N97" i="18" s="1"/>
  <c r="R97" i="18" s="1"/>
  <c r="I148" i="18"/>
  <c r="J148" i="18" s="1"/>
  <c r="L148" i="18" s="1"/>
  <c r="N148" i="18" s="1"/>
  <c r="R148" i="18" s="1"/>
  <c r="I122" i="18"/>
  <c r="J122" i="18" s="1"/>
  <c r="L122" i="18" s="1"/>
  <c r="N122" i="18" s="1"/>
  <c r="R122" i="18" s="1"/>
  <c r="I196" i="18"/>
  <c r="J196" i="18" s="1"/>
  <c r="L196" i="18" s="1"/>
  <c r="N196" i="18" s="1"/>
  <c r="R196" i="18" s="1"/>
  <c r="I54" i="18"/>
  <c r="J54" i="18" s="1"/>
  <c r="L54" i="18" s="1"/>
  <c r="N54" i="18" s="1"/>
  <c r="R54" i="18" s="1"/>
  <c r="I27" i="18"/>
  <c r="J27" i="18" s="1"/>
  <c r="L27" i="18" s="1"/>
  <c r="N27" i="18" s="1"/>
  <c r="R27" i="18" s="1"/>
  <c r="I152" i="18"/>
  <c r="J152" i="18" s="1"/>
  <c r="L152" i="18" s="1"/>
  <c r="N152" i="18" s="1"/>
  <c r="R152" i="18" s="1"/>
  <c r="I167" i="18"/>
  <c r="J167" i="18" s="1"/>
  <c r="L167" i="18" s="1"/>
  <c r="N167" i="18" s="1"/>
  <c r="R167" i="18" s="1"/>
  <c r="I56" i="18"/>
  <c r="J56" i="18" s="1"/>
  <c r="I174" i="18"/>
  <c r="J174" i="18" s="1"/>
  <c r="L174" i="18" s="1"/>
  <c r="N174" i="18" s="1"/>
  <c r="R174" i="18" s="1"/>
  <c r="I118" i="18"/>
  <c r="J118" i="18" s="1"/>
  <c r="L118" i="18" s="1"/>
  <c r="N118" i="18" s="1"/>
  <c r="R118" i="18" s="1"/>
  <c r="I117" i="18"/>
  <c r="J117" i="18" s="1"/>
  <c r="L117" i="18" s="1"/>
  <c r="N117" i="18" s="1"/>
  <c r="R117" i="18" s="1"/>
  <c r="I28" i="18"/>
  <c r="J28" i="18" s="1"/>
  <c r="L28" i="18" s="1"/>
  <c r="N28" i="18" s="1"/>
  <c r="R28" i="18" s="1"/>
  <c r="I88" i="18"/>
  <c r="J88" i="18" s="1"/>
  <c r="L88" i="18" s="1"/>
  <c r="N88" i="18" s="1"/>
  <c r="R88" i="18" s="1"/>
  <c r="I43" i="18"/>
  <c r="J43" i="18" s="1"/>
  <c r="L43" i="18" s="1"/>
  <c r="N43" i="18" s="1"/>
  <c r="R43" i="18" s="1"/>
  <c r="I165" i="18"/>
  <c r="J165" i="18" s="1"/>
  <c r="L165" i="18" s="1"/>
  <c r="N165" i="18" s="1"/>
  <c r="R165" i="18" s="1"/>
  <c r="I120" i="18"/>
  <c r="J120" i="18" s="1"/>
  <c r="L120" i="18" s="1"/>
  <c r="N120" i="18" s="1"/>
  <c r="R120" i="18" s="1"/>
  <c r="I30" i="18"/>
  <c r="J30" i="18" s="1"/>
  <c r="L30" i="18" s="1"/>
  <c r="N30" i="18" s="1"/>
  <c r="R30" i="18" s="1"/>
  <c r="I59" i="18"/>
  <c r="J59" i="18" s="1"/>
  <c r="L59" i="18" s="1"/>
  <c r="N59" i="18" s="1"/>
  <c r="R59" i="18" s="1"/>
  <c r="I34" i="18"/>
  <c r="J34" i="18" s="1"/>
  <c r="L34" i="18" s="1"/>
  <c r="N34" i="18" s="1"/>
  <c r="R34" i="18" s="1"/>
  <c r="I113" i="18"/>
  <c r="J113" i="18" s="1"/>
  <c r="L113" i="18" s="1"/>
  <c r="N113" i="18" s="1"/>
  <c r="R113" i="18" s="1"/>
  <c r="I82" i="18"/>
  <c r="J82" i="18" s="1"/>
  <c r="L82" i="18" s="1"/>
  <c r="N82" i="18" s="1"/>
  <c r="R82" i="18" s="1"/>
  <c r="I55" i="18"/>
  <c r="J55" i="18" s="1"/>
  <c r="L55" i="18" s="1"/>
  <c r="N55" i="18" s="1"/>
  <c r="R55" i="18" s="1"/>
  <c r="I176" i="18"/>
  <c r="J176" i="18" s="1"/>
  <c r="L176" i="18" s="1"/>
  <c r="N176" i="18" s="1"/>
  <c r="R176" i="18" s="1"/>
  <c r="I94" i="18"/>
  <c r="J94" i="18" s="1"/>
  <c r="L94" i="18" s="1"/>
  <c r="N94" i="18" s="1"/>
  <c r="R94" i="18" s="1"/>
  <c r="I187" i="18"/>
  <c r="J187" i="18" s="1"/>
  <c r="L187" i="18" s="1"/>
  <c r="N187" i="18" s="1"/>
  <c r="R187" i="18" s="1"/>
  <c r="I37" i="18"/>
  <c r="J37" i="18" s="1"/>
  <c r="L37" i="18" s="1"/>
  <c r="N37" i="18" s="1"/>
  <c r="R37" i="18" s="1"/>
  <c r="I173" i="18"/>
  <c r="J173" i="18" s="1"/>
  <c r="L173" i="18" s="1"/>
  <c r="N173" i="18" s="1"/>
  <c r="R173" i="18" s="1"/>
  <c r="I89" i="18"/>
  <c r="J89" i="18" s="1"/>
  <c r="L89" i="18" s="1"/>
  <c r="N89" i="18" s="1"/>
  <c r="R89" i="18" s="1"/>
  <c r="I133" i="18"/>
  <c r="J133" i="18" s="1"/>
  <c r="L133" i="18" s="1"/>
  <c r="N133" i="18" s="1"/>
  <c r="R133" i="18" s="1"/>
  <c r="I60" i="18"/>
  <c r="J60" i="18" s="1"/>
  <c r="L60" i="18" s="1"/>
  <c r="N60" i="18" s="1"/>
  <c r="R60" i="18" s="1"/>
  <c r="I24" i="18"/>
  <c r="J24" i="18" s="1"/>
  <c r="L24" i="18" s="1"/>
  <c r="N24" i="18" s="1"/>
  <c r="R24" i="18" s="1"/>
  <c r="I50" i="18"/>
  <c r="J50" i="18" s="1"/>
  <c r="L50" i="18" s="1"/>
  <c r="N50" i="18" s="1"/>
  <c r="R50" i="18" s="1"/>
  <c r="I193" i="18"/>
  <c r="J193" i="18" s="1"/>
  <c r="L193" i="18" s="1"/>
  <c r="N193" i="18" s="1"/>
  <c r="R193" i="18" s="1"/>
  <c r="I129" i="18"/>
  <c r="J129" i="18" s="1"/>
  <c r="L129" i="18" s="1"/>
  <c r="N129" i="18" s="1"/>
  <c r="R129" i="18" s="1"/>
  <c r="I52" i="18"/>
  <c r="J52" i="18" s="1"/>
  <c r="L52" i="18" s="1"/>
  <c r="N52" i="18" s="1"/>
  <c r="R52" i="18" s="1"/>
  <c r="I86" i="18"/>
  <c r="J86" i="18" s="1"/>
  <c r="L86" i="18" s="1"/>
  <c r="N86" i="18" s="1"/>
  <c r="R86" i="18" s="1"/>
  <c r="I138" i="18"/>
  <c r="J138" i="18" s="1"/>
  <c r="L138" i="18" s="1"/>
  <c r="N138" i="18" s="1"/>
  <c r="R138" i="18" s="1"/>
  <c r="I101" i="18"/>
  <c r="J101" i="18" s="1"/>
  <c r="L101" i="18" s="1"/>
  <c r="N101" i="18" s="1"/>
  <c r="R101" i="18" s="1"/>
  <c r="I146" i="18"/>
  <c r="J146" i="18" s="1"/>
  <c r="L146" i="18" s="1"/>
  <c r="N146" i="18" s="1"/>
  <c r="R146" i="18" s="1"/>
  <c r="I105" i="18"/>
  <c r="J105" i="18" s="1"/>
  <c r="L105" i="18" s="1"/>
  <c r="N105" i="18" s="1"/>
  <c r="R105" i="18" s="1"/>
  <c r="I164" i="18"/>
  <c r="J164" i="18" s="1"/>
  <c r="L164" i="18" s="1"/>
  <c r="N164" i="18" s="1"/>
  <c r="R164" i="18" s="1"/>
  <c r="I29" i="18"/>
  <c r="J29" i="18" s="1"/>
  <c r="L29" i="18" s="1"/>
  <c r="N29" i="18" s="1"/>
  <c r="R29" i="18" s="1"/>
  <c r="I69" i="18"/>
  <c r="J69" i="18" s="1"/>
  <c r="L69" i="18" s="1"/>
  <c r="N69" i="18" s="1"/>
  <c r="R69" i="18" s="1"/>
  <c r="I135" i="18"/>
  <c r="J135" i="18" s="1"/>
  <c r="L135" i="18" s="1"/>
  <c r="N135" i="18" s="1"/>
  <c r="R135" i="18" s="1"/>
  <c r="I112" i="18"/>
  <c r="J112" i="18" s="1"/>
  <c r="L112" i="18" s="1"/>
  <c r="N112" i="18" s="1"/>
  <c r="R112" i="18" s="1"/>
  <c r="I78" i="18"/>
  <c r="J78" i="18" s="1"/>
  <c r="L78" i="18" s="1"/>
  <c r="N78" i="18" s="1"/>
  <c r="R78" i="18" s="1"/>
  <c r="I160" i="18"/>
  <c r="J160" i="18" s="1"/>
  <c r="L160" i="18" s="1"/>
  <c r="N160" i="18" s="1"/>
  <c r="R160" i="18" s="1"/>
  <c r="I128" i="18"/>
  <c r="J128" i="18" s="1"/>
  <c r="L128" i="18" s="1"/>
  <c r="N128" i="18" s="1"/>
  <c r="R128" i="18" s="1"/>
  <c r="I90" i="18"/>
  <c r="J90" i="18" s="1"/>
  <c r="L90" i="18" s="1"/>
  <c r="N90" i="18" s="1"/>
  <c r="R90" i="18" s="1"/>
  <c r="I161" i="18"/>
  <c r="J161" i="18" s="1"/>
  <c r="L161" i="18" s="1"/>
  <c r="N161" i="18" s="1"/>
  <c r="R161" i="18" s="1"/>
  <c r="I93" i="18"/>
  <c r="J93" i="18" s="1"/>
  <c r="L93" i="18" s="1"/>
  <c r="N93" i="18" s="1"/>
  <c r="R93" i="18" s="1"/>
  <c r="I203" i="18"/>
  <c r="J203" i="18" s="1"/>
  <c r="L203" i="18" s="1"/>
  <c r="N203" i="18" s="1"/>
  <c r="R203" i="18" s="1"/>
  <c r="I197" i="18"/>
  <c r="J197" i="18" s="1"/>
  <c r="L197" i="18" s="1"/>
  <c r="N197" i="18" s="1"/>
  <c r="R197" i="18" s="1"/>
  <c r="I209" i="18"/>
  <c r="J209" i="18" s="1"/>
  <c r="L209" i="18" s="1"/>
  <c r="N209" i="18" s="1"/>
  <c r="R209" i="18" s="1"/>
  <c r="I137" i="18"/>
  <c r="J137" i="18" s="1"/>
  <c r="L137" i="18" s="1"/>
  <c r="N137" i="18" s="1"/>
  <c r="R137" i="18" s="1"/>
  <c r="I175" i="18"/>
  <c r="J175" i="18" s="1"/>
  <c r="L175" i="18" s="1"/>
  <c r="N175" i="18" s="1"/>
  <c r="R175" i="18" s="1"/>
  <c r="I207" i="18"/>
  <c r="J207" i="18" s="1"/>
  <c r="L207" i="18" s="1"/>
  <c r="N207" i="18" s="1"/>
  <c r="R207" i="18" s="1"/>
  <c r="F14" i="29"/>
  <c r="I144" i="18"/>
  <c r="J144" i="18" s="1"/>
  <c r="L144" i="18" s="1"/>
  <c r="N144" i="18" s="1"/>
  <c r="R144" i="18" s="1"/>
  <c r="I102" i="18"/>
  <c r="J102" i="18" s="1"/>
  <c r="L102" i="18" s="1"/>
  <c r="N102" i="18" s="1"/>
  <c r="R102" i="18" s="1"/>
  <c r="I71" i="18"/>
  <c r="J71" i="18" s="1"/>
  <c r="L71" i="18" s="1"/>
  <c r="N71" i="18" s="1"/>
  <c r="R71" i="18" s="1"/>
  <c r="I141" i="18"/>
  <c r="J141" i="18" s="1"/>
  <c r="L141" i="18" s="1"/>
  <c r="N141" i="18" s="1"/>
  <c r="R141" i="18" s="1"/>
  <c r="I194" i="18"/>
  <c r="J194" i="18" s="1"/>
  <c r="L194" i="18" s="1"/>
  <c r="N194" i="18" s="1"/>
  <c r="R194" i="18" s="1"/>
  <c r="I123" i="18"/>
  <c r="J123" i="18" s="1"/>
  <c r="L123" i="18" s="1"/>
  <c r="N123" i="18" s="1"/>
  <c r="R123" i="18" s="1"/>
  <c r="I172" i="18"/>
  <c r="J172" i="18" s="1"/>
  <c r="L172" i="18" s="1"/>
  <c r="N172" i="18" s="1"/>
  <c r="R172" i="18" s="1"/>
  <c r="I199" i="18"/>
  <c r="J199" i="18" s="1"/>
  <c r="L199" i="18" s="1"/>
  <c r="N199" i="18" s="1"/>
  <c r="R199" i="18" s="1"/>
  <c r="I57" i="18"/>
  <c r="J57" i="18" s="1"/>
  <c r="L57" i="18" s="1"/>
  <c r="N57" i="18" s="1"/>
  <c r="R57" i="18" s="1"/>
  <c r="I184" i="18"/>
  <c r="J184" i="18" s="1"/>
  <c r="L184" i="18" s="1"/>
  <c r="N184" i="18" s="1"/>
  <c r="R184" i="18" s="1"/>
  <c r="I190" i="18"/>
  <c r="J190" i="18" s="1"/>
  <c r="L190" i="18" s="1"/>
  <c r="N190" i="18" s="1"/>
  <c r="R190" i="18" s="1"/>
  <c r="I108" i="18"/>
  <c r="J108" i="18" s="1"/>
  <c r="L108" i="18" s="1"/>
  <c r="N108" i="18" s="1"/>
  <c r="R108" i="18" s="1"/>
  <c r="I75" i="18"/>
  <c r="J75" i="18" s="1"/>
  <c r="L75" i="18" s="1"/>
  <c r="N75" i="18" s="1"/>
  <c r="R75" i="18" s="1"/>
  <c r="I179" i="18"/>
  <c r="J179" i="18" s="1"/>
  <c r="L179" i="18" s="1"/>
  <c r="N179" i="18" s="1"/>
  <c r="R179" i="18" s="1"/>
  <c r="I147" i="18"/>
  <c r="J147" i="18" s="1"/>
  <c r="L147" i="18" s="1"/>
  <c r="N147" i="18" s="1"/>
  <c r="R147" i="18" s="1"/>
  <c r="I41" i="18"/>
  <c r="J41" i="18" s="1"/>
  <c r="L41" i="18" s="1"/>
  <c r="N41" i="18" s="1"/>
  <c r="R41" i="18" s="1"/>
  <c r="I115" i="18"/>
  <c r="J115" i="18" s="1"/>
  <c r="L115" i="18" s="1"/>
  <c r="N115" i="18" s="1"/>
  <c r="R115" i="18" s="1"/>
  <c r="I208" i="18"/>
  <c r="J208" i="18" s="1"/>
  <c r="L208" i="18" s="1"/>
  <c r="N208" i="18" s="1"/>
  <c r="R208" i="18" s="1"/>
  <c r="I183" i="18"/>
  <c r="J183" i="18" s="1"/>
  <c r="L183" i="18" s="1"/>
  <c r="N183" i="18" s="1"/>
  <c r="R183" i="18" s="1"/>
  <c r="I58" i="18"/>
  <c r="J58" i="18" s="1"/>
  <c r="L58" i="18" s="1"/>
  <c r="N58" i="18" s="1"/>
  <c r="R58" i="18" s="1"/>
  <c r="I169" i="18"/>
  <c r="J169" i="18" s="1"/>
  <c r="L169" i="18" s="1"/>
  <c r="N169" i="18" s="1"/>
  <c r="R169" i="18" s="1"/>
  <c r="I153" i="18"/>
  <c r="J153" i="18" s="1"/>
  <c r="L153" i="18" s="1"/>
  <c r="N153" i="18" s="1"/>
  <c r="R153" i="18" s="1"/>
  <c r="I182" i="18"/>
  <c r="J182" i="18" s="1"/>
  <c r="L182" i="18" s="1"/>
  <c r="N182" i="18" s="1"/>
  <c r="R182" i="18" s="1"/>
  <c r="I157" i="18"/>
  <c r="J157" i="18" s="1"/>
  <c r="L157" i="18" s="1"/>
  <c r="N157" i="18" s="1"/>
  <c r="R157" i="18" s="1"/>
  <c r="I25" i="18"/>
  <c r="J25" i="18" s="1"/>
  <c r="L25" i="18" s="1"/>
  <c r="N25" i="18" s="1"/>
  <c r="R25" i="18" s="1"/>
  <c r="I31" i="18"/>
  <c r="J31" i="18" s="1"/>
  <c r="L31" i="18" s="1"/>
  <c r="N31" i="18" s="1"/>
  <c r="R31" i="18" s="1"/>
  <c r="J14" i="18" l="1"/>
  <c r="L20" i="18"/>
  <c r="J212" i="18"/>
  <c r="L56" i="18"/>
  <c r="J13" i="18"/>
  <c r="L13" i="18" l="1"/>
  <c r="N56" i="18"/>
  <c r="L14" i="18"/>
  <c r="L212" i="18"/>
  <c r="N20" i="18"/>
  <c r="N14" i="18" l="1"/>
  <c r="R20" i="18"/>
  <c r="R56" i="18"/>
  <c r="R13" i="18" s="1"/>
  <c r="N13" i="18"/>
  <c r="R14" i="18" l="1"/>
  <c r="R21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rlp</author>
  </authors>
  <commentList>
    <comment ref="J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True-Up ATRR and rate from current year's (t=0) update.
</t>
        </r>
      </text>
    </comment>
    <comment ref="K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J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Actual Charge based on after the fact "True-Up" rate for entire prior CY.</t>
        </r>
      </text>
    </comment>
    <comment ref="K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Amount charged during the Rate Year based on projected rates.</t>
        </r>
      </text>
    </comment>
  </commentList>
</comments>
</file>

<file path=xl/sharedStrings.xml><?xml version="1.0" encoding="utf-8"?>
<sst xmlns="http://schemas.openxmlformats.org/spreadsheetml/2006/main" count="417" uniqueCount="100">
  <si>
    <t>Customer</t>
  </si>
  <si>
    <t>MW</t>
  </si>
  <si>
    <t>Total True-up</t>
  </si>
  <si>
    <t>True-Up w/o Interest</t>
  </si>
  <si>
    <t>Billing
Date*</t>
  </si>
  <si>
    <t>Payment Received*</t>
  </si>
  <si>
    <t>Annual RR</t>
  </si>
  <si>
    <t>Interest</t>
  </si>
  <si>
    <t>OMPA</t>
  </si>
  <si>
    <t>WFEC</t>
  </si>
  <si>
    <t>Monthly Rate</t>
  </si>
  <si>
    <t>True-up Values:  Surcharge / (Refund)</t>
  </si>
  <si>
    <t>Sched.</t>
  </si>
  <si>
    <t>ETEC</t>
  </si>
  <si>
    <t>AECC</t>
  </si>
  <si>
    <t>Greenbelt</t>
  </si>
  <si>
    <t>Lighthouse</t>
  </si>
  <si>
    <t>Coffeyville, KS</t>
  </si>
  <si>
    <t>Grand Total</t>
  </si>
  <si>
    <t>OG&amp;E</t>
  </si>
  <si>
    <t>AEP Revenue Adjustment</t>
  </si>
  <si>
    <t>PSO</t>
  </si>
  <si>
    <t>SWEPCO</t>
  </si>
  <si>
    <r>
      <t xml:space="preserve">NOTE:  </t>
    </r>
    <r>
      <rPr>
        <sz val="10"/>
        <rFont val="Arial"/>
        <family val="2"/>
      </rPr>
      <t>This is a normal part of the Annual True-up</t>
    </r>
  </si>
  <si>
    <t>Data</t>
  </si>
  <si>
    <t>Sum of True-Up w/o Interest</t>
  </si>
  <si>
    <t>Sum of Interest</t>
  </si>
  <si>
    <t>Sum of Total True-up</t>
  </si>
  <si>
    <t>Total Sum of True-Up w/o Interest</t>
  </si>
  <si>
    <t>Total Sum of Interest</t>
  </si>
  <si>
    <t>Total Sum of Total True-up</t>
  </si>
  <si>
    <t>(A)</t>
  </si>
  <si>
    <t>(B)</t>
  </si>
  <si>
    <t>(C)</t>
  </si>
  <si>
    <t>(D) = (B) - (C)</t>
  </si>
  <si>
    <t>(E)</t>
  </si>
  <si>
    <t>Projected</t>
  </si>
  <si>
    <r>
      <t xml:space="preserve">Projected </t>
    </r>
    <r>
      <rPr>
        <sz val="10"/>
        <rFont val="Arial Narrow"/>
        <family val="2"/>
      </rPr>
      <t>(Invoiced)</t>
    </r>
  </si>
  <si>
    <t xml:space="preserve">  ARR</t>
  </si>
  <si>
    <t xml:space="preserve">  Monthly Rates</t>
  </si>
  <si>
    <r>
      <t>Actual</t>
    </r>
    <r>
      <rPr>
        <sz val="10"/>
        <rFont val="Arial Narrow"/>
        <family val="2"/>
      </rPr>
      <t xml:space="preserve"> (True-Up)</t>
    </r>
  </si>
  <si>
    <r>
      <t xml:space="preserve">Actual </t>
    </r>
    <r>
      <rPr>
        <sz val="10"/>
        <rFont val="Arial Narrow"/>
        <family val="2"/>
      </rPr>
      <t>(True-Up)</t>
    </r>
  </si>
  <si>
    <t xml:space="preserve">    Non-Affiliate
    Subtotals</t>
  </si>
  <si>
    <t>TOTALS</t>
  </si>
  <si>
    <t>Comment</t>
  </si>
  <si>
    <t>Actual True-Up Rate</t>
  </si>
  <si>
    <t>Invoiced*** Charge (proj.)</t>
  </si>
  <si>
    <r>
      <t>Projected Rate</t>
    </r>
    <r>
      <rPr>
        <sz val="8"/>
        <rFont val="Arial"/>
        <family val="2"/>
      </rPr>
      <t xml:space="preserve"> (as Invoiced)</t>
    </r>
  </si>
  <si>
    <t>Sum of Invoiced*** Charge (proj.)</t>
  </si>
  <si>
    <t xml:space="preserve">  Customer</t>
  </si>
  <si>
    <t xml:space="preserve">    Affiliate
    Subtotals</t>
  </si>
  <si>
    <t>Customer True-Up for Amounts Billed</t>
  </si>
  <si>
    <t>Serivce Month</t>
  </si>
  <si>
    <t>Bentonville, AR</t>
  </si>
  <si>
    <t>Prescott, AR</t>
  </si>
  <si>
    <t>Minden, LA</t>
  </si>
  <si>
    <t>Hope, AR</t>
  </si>
  <si>
    <t>3rd Party Totals</t>
  </si>
  <si>
    <t>SPP Zone1 Totals (incl. PSO/SWE)</t>
  </si>
  <si>
    <t>Surcharge / (Refund)</t>
  </si>
  <si>
    <t>Total Sum of Invoiced*** Charge (proj.)</t>
  </si>
  <si>
    <r>
      <t xml:space="preserve">*** </t>
    </r>
    <r>
      <rPr>
        <sz val="8"/>
        <rFont val="Arial"/>
        <family val="2"/>
      </rPr>
      <t>Invoiced Charge reflects any subsequent routine invoice corrections by SPP.</t>
    </r>
  </si>
  <si>
    <t>Instructions</t>
  </si>
  <si>
    <r>
      <t>Roll Date: input trueup year in cell=</t>
    </r>
    <r>
      <rPr>
        <b/>
        <i/>
        <sz val="10"/>
        <rFont val="Arial"/>
        <family val="2"/>
      </rPr>
      <t>Transactions!N1</t>
    </r>
  </si>
  <si>
    <t>Update Prime Rates data:  see Prime-Rates tab</t>
  </si>
  <si>
    <r>
      <t>Verify Refund Date:  verify and change (if needed) Refund Date celll=</t>
    </r>
    <r>
      <rPr>
        <b/>
        <i/>
        <sz val="10"/>
        <rFont val="Arial"/>
        <family val="2"/>
      </rPr>
      <t>Transactions!W8</t>
    </r>
  </si>
  <si>
    <t>Billing/Pmt Rec'd Dates:  Verify these dates (currently set to formulaicly update relative to trueup year)</t>
  </si>
  <si>
    <t>Update SPP Zone1 NITS Customer list &amp; formulas (if needed): look at LoadWS in main template &amp; also check w/Load Settlements.</t>
  </si>
  <si>
    <t>Update invoiced Load values per month per customer (from LoadWS in main template) (transpose)</t>
  </si>
  <si>
    <t>Sum of True-Up Charge</t>
  </si>
  <si>
    <t>Total Sum of True-Up Charge</t>
  </si>
  <si>
    <r>
      <t xml:space="preserve">Refresh Pivot Table in </t>
    </r>
    <r>
      <rPr>
        <b/>
        <sz val="10"/>
        <rFont val="Arial"/>
        <family val="2"/>
      </rPr>
      <t>tab=PIVOT</t>
    </r>
  </si>
  <si>
    <t>NOTE:  Be aware that title changes to a Transaction tab column summarized in the pivot table cause such column to be dropped form the pivot table when it is refreshed.</t>
  </si>
  <si>
    <t>NOTE:  In that instance, manually update the LAYOUT of the pivot table to re-summarize the column that encountered a title change.</t>
  </si>
  <si>
    <t>NOTE:  The SUMMARY table in that tab contains GETPIVOTDATA functions that should still work as they reference tltle cells in Transactions tab.</t>
  </si>
  <si>
    <t>Update Rate Summary tab. (very manual process).</t>
  </si>
  <si>
    <t xml:space="preserve">            as contemplated in the AEP Formula Rate Protocols.</t>
  </si>
  <si>
    <t>NOTE:  "Rate Summary" tab is usually "walked-through" during customer meeting but not printed.</t>
  </si>
  <si>
    <t>NOTE:  Print to PDF the "Summary" tab as a supplement for customer Mtg handout and published PDFs.</t>
  </si>
  <si>
    <r>
      <t>Input Sched 9 ATRRs &amp; rates from prior 2 update's (projected) and this year's update (trueup)=</t>
    </r>
    <r>
      <rPr>
        <b/>
        <i/>
        <sz val="10"/>
        <rFont val="Arial"/>
        <family val="2"/>
      </rPr>
      <t>Transactions!J2:K8</t>
    </r>
  </si>
  <si>
    <t>SWEPCO-Valley</t>
  </si>
  <si>
    <t>* SPP bills customer on third business day, AEP receives on 24th or next business day.</t>
  </si>
  <si>
    <t>AECI</t>
  </si>
  <si>
    <t>Tax Rebilling Rate</t>
  </si>
  <si>
    <t>Tax True Up Billing</t>
  </si>
  <si>
    <t>Tax True Up</t>
  </si>
  <si>
    <t>Sum of Tax True Up Billing</t>
  </si>
  <si>
    <t>Total Sum of Tax True Up Billing</t>
  </si>
  <si>
    <t>Sum of Tax True Up</t>
  </si>
  <si>
    <t>Total Sum of Tax True Up</t>
  </si>
  <si>
    <t>(G) = (D) + (E) - (F)</t>
  </si>
  <si>
    <t>(G)</t>
  </si>
  <si>
    <t>January - December</t>
  </si>
  <si>
    <t>PUBLIC SERVICE COMPANY of OKLAHOMA &amp; SOUTHWESTERN ELECTRIC POWER</t>
  </si>
  <si>
    <t>AEPTCo Formula Rate -- FERC Docket ER18-195</t>
  </si>
  <si>
    <t>Network Customer True-Up (Schedule 1 charges)</t>
  </si>
  <si>
    <t>2023 True Up Including Interest</t>
  </si>
  <si>
    <r>
      <t>2025 True-Up
(</t>
    </r>
    <r>
      <rPr>
        <sz val="10"/>
        <rFont val="Arial"/>
        <family val="2"/>
      </rPr>
      <t>w/o Interest)</t>
    </r>
  </si>
  <si>
    <t>2025 Interest</t>
  </si>
  <si>
    <t>Total 2025
True-Up Surcharge / (Refund)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</si>
</sst>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%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i/>
      <sz val="9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8"/>
      <color rgb="FF00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3" fillId="6" borderId="0" xfId="0" applyFont="1" applyFill="1"/>
    <xf numFmtId="0" fontId="2" fillId="2" borderId="0" xfId="0" quotePrefix="1" applyFont="1" applyFill="1" applyAlignment="1">
      <alignment horizontal="left"/>
    </xf>
    <xf numFmtId="0" fontId="0" fillId="2" borderId="0" xfId="0" applyFill="1"/>
    <xf numFmtId="0" fontId="10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6" fillId="0" borderId="1" xfId="0" quotePrefix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4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centerContinuous"/>
    </xf>
    <xf numFmtId="0" fontId="14" fillId="0" borderId="5" xfId="0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5" fillId="0" borderId="2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quotePrefix="1" applyFont="1" applyBorder="1" applyAlignment="1">
      <alignment horizontal="left" vertical="center"/>
    </xf>
    <xf numFmtId="0" fontId="12" fillId="0" borderId="8" xfId="0" quotePrefix="1" applyFont="1" applyBorder="1" applyAlignment="1">
      <alignment horizontal="center" vertical="center"/>
    </xf>
    <xf numFmtId="167" fontId="13" fillId="0" borderId="8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10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64" fontId="13" fillId="0" borderId="0" xfId="0" quotePrefix="1" applyNumberFormat="1" applyFont="1" applyAlignment="1">
      <alignment horizontal="center" vertical="center" wrapText="1"/>
    </xf>
    <xf numFmtId="164" fontId="13" fillId="0" borderId="11" xfId="0" quotePrefix="1" applyNumberFormat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 applyBorder="1" applyProtection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12" xfId="0" quotePrefix="1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5" fontId="0" fillId="0" borderId="0" xfId="0" applyNumberFormat="1"/>
    <xf numFmtId="0" fontId="0" fillId="0" borderId="10" xfId="0" applyBorder="1"/>
    <xf numFmtId="165" fontId="0" fillId="0" borderId="16" xfId="2" applyNumberFormat="1" applyFont="1" applyBorder="1" applyProtection="1"/>
    <xf numFmtId="165" fontId="0" fillId="0" borderId="17" xfId="2" applyNumberFormat="1" applyFont="1" applyBorder="1" applyProtection="1"/>
    <xf numFmtId="0" fontId="0" fillId="0" borderId="10" xfId="0" quotePrefix="1" applyBorder="1" applyAlignment="1">
      <alignment horizontal="left"/>
    </xf>
    <xf numFmtId="43" fontId="0" fillId="0" borderId="0" xfId="0" applyNumberFormat="1"/>
    <xf numFmtId="0" fontId="0" fillId="0" borderId="19" xfId="0" applyBorder="1"/>
    <xf numFmtId="0" fontId="9" fillId="3" borderId="20" xfId="0" quotePrefix="1" applyFont="1" applyFill="1" applyBorder="1" applyAlignment="1">
      <alignment horizontal="left" vertical="center" wrapText="1"/>
    </xf>
    <xf numFmtId="165" fontId="0" fillId="3" borderId="21" xfId="2" applyNumberFormat="1" applyFont="1" applyFill="1" applyBorder="1" applyAlignment="1" applyProtection="1">
      <alignment vertical="center"/>
    </xf>
    <xf numFmtId="165" fontId="0" fillId="3" borderId="22" xfId="2" applyNumberFormat="1" applyFont="1" applyFill="1" applyBorder="1" applyAlignment="1" applyProtection="1">
      <alignment vertical="center"/>
    </xf>
    <xf numFmtId="165" fontId="3" fillId="3" borderId="23" xfId="2" applyNumberFormat="1" applyFont="1" applyFill="1" applyBorder="1" applyAlignment="1" applyProtection="1">
      <alignment vertical="center"/>
    </xf>
    <xf numFmtId="0" fontId="0" fillId="0" borderId="25" xfId="0" quotePrefix="1" applyBorder="1" applyAlignment="1">
      <alignment horizontal="left"/>
    </xf>
    <xf numFmtId="0" fontId="0" fillId="0" borderId="18" xfId="0" applyBorder="1"/>
    <xf numFmtId="0" fontId="0" fillId="0" borderId="26" xfId="0" applyBorder="1"/>
    <xf numFmtId="0" fontId="9" fillId="0" borderId="20" xfId="0" quotePrefix="1" applyFont="1" applyBorder="1" applyAlignment="1">
      <alignment horizontal="left" vertical="center" wrapText="1"/>
    </xf>
    <xf numFmtId="165" fontId="0" fillId="0" borderId="21" xfId="2" applyNumberFormat="1" applyFont="1" applyFill="1" applyBorder="1" applyAlignment="1" applyProtection="1">
      <alignment vertical="center"/>
    </xf>
    <xf numFmtId="165" fontId="0" fillId="0" borderId="22" xfId="2" applyNumberFormat="1" applyFont="1" applyFill="1" applyBorder="1" applyAlignment="1" applyProtection="1">
      <alignment vertical="center"/>
    </xf>
    <xf numFmtId="165" fontId="3" fillId="0" borderId="23" xfId="2" applyNumberFormat="1" applyFont="1" applyFill="1" applyBorder="1" applyAlignment="1" applyProtection="1">
      <alignment vertical="center"/>
    </xf>
    <xf numFmtId="166" fontId="0" fillId="0" borderId="0" xfId="1" applyNumberFormat="1" applyFont="1" applyProtection="1"/>
    <xf numFmtId="0" fontId="9" fillId="0" borderId="5" xfId="0" quotePrefix="1" applyFont="1" applyBorder="1" applyAlignment="1">
      <alignment horizontal="center" vertical="center" wrapText="1"/>
    </xf>
    <xf numFmtId="165" fontId="0" fillId="0" borderId="27" xfId="2" applyNumberFormat="1" applyFont="1" applyBorder="1" applyAlignment="1" applyProtection="1">
      <alignment vertical="center"/>
    </xf>
    <xf numFmtId="165" fontId="0" fillId="0" borderId="28" xfId="2" applyNumberFormat="1" applyFont="1" applyBorder="1" applyAlignment="1" applyProtection="1">
      <alignment vertical="center"/>
    </xf>
    <xf numFmtId="165" fontId="0" fillId="0" borderId="29" xfId="2" applyNumberFormat="1" applyFont="1" applyBorder="1" applyAlignment="1" applyProtection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9" fillId="0" borderId="14" xfId="0" applyNumberFormat="1" applyFont="1" applyBorder="1" applyAlignment="1">
      <alignment horizontal="center" wrapText="1"/>
    </xf>
    <xf numFmtId="164" fontId="4" fillId="0" borderId="14" xfId="0" applyNumberFormat="1" applyFont="1" applyBorder="1" applyAlignment="1">
      <alignment horizontal="center" wrapText="1"/>
    </xf>
    <xf numFmtId="0" fontId="0" fillId="0" borderId="15" xfId="0" applyBorder="1"/>
    <xf numFmtId="0" fontId="21" fillId="6" borderId="0" xfId="0" applyFont="1" applyFill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7" fontId="7" fillId="6" borderId="0" xfId="0" applyNumberFormat="1" applyFont="1" applyFill="1" applyAlignment="1">
      <alignment horizontal="right"/>
    </xf>
    <xf numFmtId="10" fontId="24" fillId="0" borderId="0" xfId="4" quotePrefix="1" applyNumberFormat="1" applyFont="1" applyBorder="1" applyAlignment="1" applyProtection="1">
      <alignment horizontal="left"/>
    </xf>
    <xf numFmtId="0" fontId="0" fillId="0" borderId="11" xfId="0" applyBorder="1"/>
    <xf numFmtId="164" fontId="7" fillId="6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168" fontId="0" fillId="0" borderId="11" xfId="4" applyNumberFormat="1" applyFont="1" applyBorder="1" applyAlignment="1" applyProtection="1">
      <alignment horizontal="center"/>
    </xf>
    <xf numFmtId="168" fontId="0" fillId="0" borderId="0" xfId="4" applyNumberFormat="1" applyFont="1" applyBorder="1" applyAlignment="1" applyProtection="1">
      <alignment horizontal="center"/>
    </xf>
    <xf numFmtId="0" fontId="0" fillId="0" borderId="30" xfId="0" applyBorder="1"/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164" fontId="19" fillId="0" borderId="0" xfId="0" applyNumberFormat="1" applyFont="1" applyAlignment="1">
      <alignment horizontal="center" wrapText="1"/>
    </xf>
    <xf numFmtId="164" fontId="4" fillId="0" borderId="0" xfId="0" quotePrefix="1" applyNumberFormat="1" applyFont="1" applyAlignment="1">
      <alignment horizontal="center" wrapText="1"/>
    </xf>
    <xf numFmtId="167" fontId="1" fillId="0" borderId="0" xfId="0" applyNumberFormat="1" applyFont="1" applyAlignment="1">
      <alignment horizontal="right"/>
    </xf>
    <xf numFmtId="168" fontId="0" fillId="0" borderId="11" xfId="0" applyNumberFormat="1" applyBorder="1"/>
    <xf numFmtId="168" fontId="0" fillId="0" borderId="0" xfId="0" applyNumberFormat="1"/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0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center"/>
    </xf>
    <xf numFmtId="164" fontId="6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20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0" fontId="1" fillId="0" borderId="1" xfId="4" quotePrefix="1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0" borderId="0" xfId="0" quotePrefix="1" applyFont="1" applyAlignment="1">
      <alignment horizontal="left"/>
    </xf>
    <xf numFmtId="10" fontId="0" fillId="0" borderId="0" xfId="4" applyNumberFormat="1" applyFont="1" applyAlignment="1" applyProtection="1">
      <alignment horizontal="center"/>
    </xf>
    <xf numFmtId="0" fontId="0" fillId="0" borderId="30" xfId="0" quotePrefix="1" applyBorder="1" applyAlignment="1">
      <alignment horizontal="right"/>
    </xf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3" fillId="0" borderId="24" xfId="0" applyNumberFormat="1" applyFont="1" applyBorder="1" applyAlignment="1">
      <alignment horizontal="right"/>
    </xf>
    <xf numFmtId="167" fontId="0" fillId="0" borderId="22" xfId="0" applyNumberFormat="1" applyBorder="1" applyAlignment="1">
      <alignment horizontal="center"/>
    </xf>
    <xf numFmtId="167" fontId="0" fillId="4" borderId="24" xfId="0" applyNumberFormat="1" applyFill="1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26" xfId="0" applyNumberFormat="1" applyFont="1" applyBorder="1" applyAlignment="1">
      <alignment horizontal="right"/>
    </xf>
    <xf numFmtId="14" fontId="1" fillId="0" borderId="16" xfId="0" quotePrefix="1" applyNumberFormat="1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30" xfId="0" applyNumberFormat="1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1" quotePrefix="1" applyNumberFormat="1" applyFont="1" applyFill="1" applyAlignment="1" applyProtection="1">
      <alignment horizontal="left"/>
    </xf>
    <xf numFmtId="164" fontId="5" fillId="0" borderId="30" xfId="0" applyNumberFormat="1" applyFont="1" applyBorder="1" applyAlignment="1">
      <alignment horizontal="center"/>
    </xf>
    <xf numFmtId="14" fontId="0" fillId="0" borderId="16" xfId="0" quotePrefix="1" applyNumberFormat="1" applyBorder="1" applyAlignment="1">
      <alignment horizontal="left"/>
    </xf>
    <xf numFmtId="44" fontId="5" fillId="0" borderId="0" xfId="2" applyFont="1" applyAlignment="1" applyProtection="1">
      <alignment horizontal="center"/>
    </xf>
    <xf numFmtId="9" fontId="1" fillId="0" borderId="0" xfId="4" applyFont="1" applyAlignment="1" applyProtection="1">
      <alignment horizontal="center"/>
    </xf>
    <xf numFmtId="44" fontId="5" fillId="0" borderId="30" xfId="2" applyFont="1" applyBorder="1" applyAlignment="1" applyProtection="1">
      <alignment horizontal="center"/>
    </xf>
    <xf numFmtId="165" fontId="1" fillId="0" borderId="0" xfId="2" applyNumberFormat="1" applyFont="1" applyAlignment="1" applyProtection="1">
      <alignment horizontal="center"/>
    </xf>
    <xf numFmtId="0" fontId="4" fillId="0" borderId="0" xfId="0" quotePrefix="1" applyFont="1" applyAlignment="1">
      <alignment horizontal="center"/>
    </xf>
    <xf numFmtId="0" fontId="4" fillId="0" borderId="32" xfId="0" quotePrefix="1" applyFont="1" applyBorder="1" applyAlignment="1">
      <alignment horizontal="center"/>
    </xf>
    <xf numFmtId="164" fontId="4" fillId="0" borderId="21" xfId="0" quotePrefix="1" applyNumberFormat="1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 wrapText="1"/>
    </xf>
    <xf numFmtId="164" fontId="4" fillId="5" borderId="22" xfId="0" quotePrefix="1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14" fontId="7" fillId="2" borderId="0" xfId="0" applyNumberFormat="1" applyFont="1" applyFill="1" applyAlignment="1">
      <alignment horizontal="left"/>
    </xf>
    <xf numFmtId="1" fontId="8" fillId="6" borderId="0" xfId="0" applyNumberFormat="1" applyFont="1" applyFill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18" xfId="0" applyNumberFormat="1" applyBorder="1" applyAlignment="1">
      <alignment horizontal="right"/>
    </xf>
    <xf numFmtId="14" fontId="0" fillId="0" borderId="0" xfId="0" quotePrefix="1" applyNumberFormat="1" applyAlignment="1">
      <alignment horizontal="left"/>
    </xf>
    <xf numFmtId="164" fontId="6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0" fillId="0" borderId="8" xfId="0" applyNumberFormat="1" applyBorder="1"/>
    <xf numFmtId="164" fontId="1" fillId="0" borderId="8" xfId="0" applyNumberFormat="1" applyFont="1" applyBorder="1"/>
    <xf numFmtId="17" fontId="0" fillId="0" borderId="33" xfId="0" applyNumberFormat="1" applyBorder="1" applyAlignment="1">
      <alignment horizontal="center"/>
    </xf>
    <xf numFmtId="14" fontId="1" fillId="0" borderId="33" xfId="0" applyNumberFormat="1" applyFont="1" applyBorder="1"/>
    <xf numFmtId="14" fontId="7" fillId="2" borderId="33" xfId="0" applyNumberFormat="1" applyFont="1" applyFill="1" applyBorder="1" applyAlignment="1">
      <alignment horizontal="left"/>
    </xf>
    <xf numFmtId="0" fontId="0" fillId="0" borderId="33" xfId="0" applyBorder="1" applyAlignment="1">
      <alignment horizontal="center"/>
    </xf>
    <xf numFmtId="14" fontId="1" fillId="0" borderId="0" xfId="0" applyNumberFormat="1" applyFont="1"/>
    <xf numFmtId="0" fontId="0" fillId="0" borderId="33" xfId="0" applyBorder="1"/>
    <xf numFmtId="17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8" xfId="0" applyBorder="1"/>
    <xf numFmtId="14" fontId="1" fillId="0" borderId="8" xfId="0" applyNumberFormat="1" applyFont="1" applyBorder="1"/>
    <xf numFmtId="14" fontId="0" fillId="0" borderId="8" xfId="0" quotePrefix="1" applyNumberFormat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7" fontId="7" fillId="6" borderId="24" xfId="0" applyNumberFormat="1" applyFont="1" applyFill="1" applyBorder="1" applyAlignment="1">
      <alignment horizontal="center"/>
    </xf>
    <xf numFmtId="164" fontId="4" fillId="0" borderId="14" xfId="0" quotePrefix="1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left" vertical="center"/>
    </xf>
    <xf numFmtId="0" fontId="4" fillId="0" borderId="22" xfId="0" quotePrefix="1" applyFont="1" applyBorder="1" applyAlignment="1">
      <alignment horizontal="center" vertical="center"/>
    </xf>
    <xf numFmtId="14" fontId="7" fillId="6" borderId="0" xfId="3" applyNumberFormat="1" applyFont="1" applyFill="1"/>
    <xf numFmtId="14" fontId="7" fillId="2" borderId="8" xfId="3" applyNumberFormat="1" applyFont="1" applyFill="1" applyBorder="1"/>
    <xf numFmtId="14" fontId="7" fillId="6" borderId="8" xfId="3" applyNumberFormat="1" applyFont="1" applyFill="1" applyBorder="1"/>
    <xf numFmtId="10" fontId="24" fillId="0" borderId="0" xfId="4" quotePrefix="1" applyNumberFormat="1" applyFont="1" applyFill="1" applyBorder="1" applyAlignment="1" applyProtection="1">
      <alignment horizontal="left"/>
    </xf>
    <xf numFmtId="164" fontId="4" fillId="0" borderId="22" xfId="0" quotePrefix="1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43" fontId="0" fillId="0" borderId="0" xfId="1" applyFont="1" applyProtection="1"/>
    <xf numFmtId="1" fontId="8" fillId="6" borderId="8" xfId="0" applyNumberFormat="1" applyFont="1" applyFill="1" applyBorder="1" applyAlignment="1">
      <alignment horizontal="center"/>
    </xf>
    <xf numFmtId="164" fontId="0" fillId="0" borderId="26" xfId="0" applyNumberFormat="1" applyBorder="1" applyAlignment="1">
      <alignment horizontal="right"/>
    </xf>
    <xf numFmtId="0" fontId="0" fillId="0" borderId="34" xfId="0" applyBorder="1"/>
    <xf numFmtId="0" fontId="0" fillId="0" borderId="35" xfId="0" applyBorder="1"/>
    <xf numFmtId="0" fontId="0" fillId="0" borderId="34" xfId="0" pivotButton="1" applyBorder="1"/>
    <xf numFmtId="0" fontId="0" fillId="0" borderId="36" xfId="0" applyBorder="1"/>
    <xf numFmtId="17" fontId="0" fillId="0" borderId="34" xfId="0" applyNumberFormat="1" applyBorder="1"/>
    <xf numFmtId="17" fontId="0" fillId="0" borderId="37" xfId="0" applyNumberFormat="1" applyBorder="1"/>
    <xf numFmtId="17" fontId="0" fillId="0" borderId="38" xfId="0" applyNumberFormat="1" applyBorder="1"/>
    <xf numFmtId="166" fontId="0" fillId="0" borderId="34" xfId="0" applyNumberFormat="1" applyBorder="1"/>
    <xf numFmtId="166" fontId="0" fillId="0" borderId="37" xfId="0" applyNumberFormat="1" applyBorder="1"/>
    <xf numFmtId="166" fontId="0" fillId="0" borderId="38" xfId="0" applyNumberFormat="1" applyBorder="1"/>
    <xf numFmtId="0" fontId="0" fillId="0" borderId="39" xfId="0" applyBorder="1"/>
    <xf numFmtId="0" fontId="0" fillId="0" borderId="40" xfId="0" applyBorder="1"/>
    <xf numFmtId="166" fontId="14" fillId="0" borderId="40" xfId="0" applyNumberFormat="1" applyFont="1" applyBorder="1"/>
    <xf numFmtId="166" fontId="14" fillId="0" borderId="0" xfId="0" applyNumberFormat="1" applyFont="1"/>
    <xf numFmtId="166" fontId="14" fillId="0" borderId="41" xfId="0" applyNumberFormat="1" applyFont="1" applyBorder="1"/>
    <xf numFmtId="166" fontId="0" fillId="0" borderId="40" xfId="0" applyNumberFormat="1" applyBorder="1"/>
    <xf numFmtId="166" fontId="0" fillId="0" borderId="0" xfId="0" applyNumberFormat="1"/>
    <xf numFmtId="166" fontId="0" fillId="0" borderId="41" xfId="0" applyNumberFormat="1" applyBorder="1"/>
    <xf numFmtId="166" fontId="14" fillId="0" borderId="34" xfId="0" applyNumberFormat="1" applyFont="1" applyBorder="1"/>
    <xf numFmtId="166" fontId="14" fillId="0" borderId="37" xfId="0" applyNumberFormat="1" applyFont="1" applyBorder="1"/>
    <xf numFmtId="166" fontId="14" fillId="0" borderId="38" xfId="0" applyNumberFormat="1" applyFont="1" applyBorder="1"/>
    <xf numFmtId="0" fontId="0" fillId="0" borderId="42" xfId="0" applyBorder="1"/>
    <xf numFmtId="0" fontId="0" fillId="0" borderId="43" xfId="0" applyBorder="1"/>
    <xf numFmtId="166" fontId="0" fillId="0" borderId="42" xfId="0" applyNumberFormat="1" applyBorder="1"/>
    <xf numFmtId="166" fontId="0" fillId="0" borderId="44" xfId="0" applyNumberFormat="1" applyBorder="1"/>
    <xf numFmtId="166" fontId="0" fillId="0" borderId="45" xfId="0" applyNumberFormat="1" applyBorder="1"/>
    <xf numFmtId="0" fontId="3" fillId="0" borderId="46" xfId="0" quotePrefix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171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2" formatCode="0.00"/>
    </dxf>
    <dxf>
      <numFmt numFmtId="2" formatCode="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75747" refreshedDate="46163.606754976849" createdVersion="6" refreshedVersion="8" recordCount="192" xr:uid="{00000000-000A-0000-FFFF-FFFFDE000000}">
  <cacheSource type="worksheet">
    <worksheetSource ref="B19:R211" sheet="Transactions"/>
  </cacheSource>
  <cacheFields count="17">
    <cacheField name="Serivce Month" numFmtId="17">
      <sharedItems containsSemiMixedTypes="0" containsNonDate="0" containsDate="1" containsString="0" minDate="2010-01-01T00:00:00" maxDate="2025-12-02T00:00:00" count="19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4-01-01T00:00:00" u="1"/>
        <d v="2024-02-01T00:00:00" u="1"/>
        <d v="2024-03-01T00:00:00" u="1"/>
        <d v="2024-04-01T00:00:00" u="1"/>
        <d v="2024-05-01T00:00:00" u="1"/>
        <d v="2024-06-01T00:00:00" u="1"/>
        <d v="2024-07-01T00:00:00" u="1"/>
        <d v="2024-08-01T00:00:00" u="1"/>
        <d v="2024-09-01T00:00:00" u="1"/>
        <d v="2024-10-01T00:00:00" u="1"/>
        <d v="2024-11-01T00:00:00" u="1"/>
        <d v="2024-12-01T00:00:00" u="1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13-05-01T00:00:00" u="1"/>
        <d v="2014-05-01T00:00:00" u="1"/>
        <d v="2015-05-01T00:00:00" u="1"/>
        <d v="2016-05-01T00:00:00" u="1"/>
        <d v="2017-05-01T00:00:00" u="1"/>
        <d v="2018-05-01T00:00:00" u="1"/>
        <d v="2019-05-01T00:00:00" u="1"/>
        <d v="2020-05-01T00:00:00" u="1"/>
        <d v="2010-11-01T00:00:00" u="1"/>
        <d v="2021-05-01T00:00:00" u="1"/>
        <d v="2011-11-01T00:00:00" u="1"/>
        <d v="2012-11-01T00:00:00" u="1"/>
        <d v="2013-11-01T00:00:00" u="1"/>
        <d v="2014-11-01T00:00:00" u="1"/>
        <d v="2015-11-01T00:00:00" u="1"/>
        <d v="2016-11-01T00:00:00" u="1"/>
        <d v="2017-11-01T00:00:00" u="1"/>
        <d v="2018-11-01T00:00:00" u="1"/>
        <d v="2019-11-01T00:00:00" u="1"/>
        <d v="2020-11-01T00:00:00" u="1"/>
        <d v="2021-11-01T00:00:00" u="1"/>
        <d v="2010-06-01T00:00:00" u="1"/>
        <d v="2011-06-01T00:00:00" u="1"/>
        <d v="2012-06-01T00:00:00" u="1"/>
        <d v="2013-06-01T00:00:00" u="1"/>
        <d v="2014-06-01T00:00:00" u="1"/>
        <d v="2015-06-01T00:00:00" u="1"/>
        <d v="2016-06-01T00:00:00" u="1"/>
        <d v="2017-06-01T00:00:00" u="1"/>
        <d v="2018-06-01T00:00:00" u="1"/>
        <d v="2019-06-01T00:00:00" u="1"/>
        <d v="2020-06-01T00:00:00" u="1"/>
        <d v="2010-12-01T00:00:00" u="1"/>
        <d v="2021-06-01T00:00:00" u="1"/>
        <d v="2011-12-01T00:00:00" u="1"/>
        <d v="2012-12-01T00:00:00" u="1"/>
        <d v="2013-12-01T00:00:00" u="1"/>
        <d v="2014-12-01T00:00:00" u="1"/>
        <d v="2015-12-01T00:00:00" u="1"/>
        <d v="2016-12-01T00:00:00" u="1"/>
        <d v="2017-12-01T00:00:00" u="1"/>
        <d v="2018-12-01T00:00:00" u="1"/>
        <d v="2019-12-01T00:00:00" u="1"/>
        <d v="2020-12-01T00:00:00" u="1"/>
        <d v="2021-12-01T00:00:00" u="1"/>
        <d v="2010-01-01T00:00:00" u="1"/>
        <d v="2011-01-01T00:00:00" u="1"/>
        <d v="2012-01-01T00:00:00" u="1"/>
        <d v="2013-01-01T00:00:00" u="1"/>
        <d v="2014-01-01T00:00:00" u="1"/>
        <d v="2015-01-01T00:00:00" u="1"/>
        <d v="2016-01-01T00:00:00" u="1"/>
        <d v="2017-01-01T00:00:00" u="1"/>
        <d v="2018-01-01T00:00:00" u="1"/>
        <d v="2019-01-01T00:00:00" u="1"/>
        <d v="2020-01-01T00:00:00" u="1"/>
        <d v="2010-07-01T00:00:00" u="1"/>
        <d v="2021-01-01T00:00:00" u="1"/>
        <d v="2011-07-01T00:00:00" u="1"/>
        <d v="2012-07-01T00:00:00" u="1"/>
        <d v="2013-07-01T00:00:00" u="1"/>
        <d v="2014-07-01T00:00:00" u="1"/>
        <d v="2015-07-01T00:00:00" u="1"/>
        <d v="2016-07-01T00:00:00" u="1"/>
        <d v="2017-07-01T00:00:00" u="1"/>
        <d v="2018-07-01T00:00:00" u="1"/>
        <d v="2019-07-01T00:00:00" u="1"/>
        <d v="2020-07-01T00:00:00" u="1"/>
        <d v="2021-07-01T00:00:00" u="1"/>
        <d v="2010-02-01T00:00:00" u="1"/>
        <d v="2011-02-01T00:00:00" u="1"/>
        <d v="2012-02-01T00:00:00" u="1"/>
        <d v="2013-02-01T00:00:00" u="1"/>
        <d v="2014-02-01T00:00:00" u="1"/>
        <d v="2015-02-01T00:00:00" u="1"/>
        <d v="2016-02-01T00:00:00" u="1"/>
        <d v="2017-02-01T00:00:00" u="1"/>
        <d v="2018-02-01T00:00:00" u="1"/>
        <d v="2019-02-01T00:00:00" u="1"/>
        <d v="2020-02-01T00:00:00" u="1"/>
        <d v="2010-08-01T00:00:00" u="1"/>
        <d v="2021-02-01T00:00:00" u="1"/>
        <d v="2011-08-01T00:00:00" u="1"/>
        <d v="2012-08-01T00:00:00" u="1"/>
        <d v="2013-08-01T00:00:00" u="1"/>
        <d v="2014-08-01T00:00:00" u="1"/>
        <d v="2015-08-01T00:00:00" u="1"/>
        <d v="2016-08-01T00:00:00" u="1"/>
        <d v="2017-08-01T00:00:00" u="1"/>
        <d v="2018-08-01T00:00:00" u="1"/>
        <d v="2019-08-01T00:00:00" u="1"/>
        <d v="2020-08-01T00:00:00" u="1"/>
        <d v="2021-08-01T00:00:00" u="1"/>
        <d v="2010-03-01T00:00:00" u="1"/>
        <d v="2011-03-01T00:00:00" u="1"/>
        <d v="2012-03-01T00:00:00" u="1"/>
        <d v="2013-03-01T00:00:00" u="1"/>
        <d v="2014-03-01T00:00:00" u="1"/>
        <d v="2015-03-01T00:00:00" u="1"/>
        <d v="2016-03-01T00:00:00" u="1"/>
        <d v="2017-03-01T00:00:00" u="1"/>
        <d v="2018-03-01T00:00:00" u="1"/>
        <d v="2019-03-01T00:00:00" u="1"/>
        <d v="2020-03-01T00:00:00" u="1"/>
        <d v="2010-09-01T00:00:00" u="1"/>
        <d v="2021-03-01T00:00:00" u="1"/>
        <d v="2011-09-01T00:00:00" u="1"/>
        <d v="2012-09-01T00:00:00" u="1"/>
        <d v="2013-09-01T00:00:00" u="1"/>
        <d v="2014-09-01T00:00:00" u="1"/>
        <d v="2015-09-01T00:00:00" u="1"/>
        <d v="2016-09-01T00:00:00" u="1"/>
        <d v="2017-09-01T00:00:00" u="1"/>
        <d v="2018-09-01T00:00:00" u="1"/>
        <d v="2019-09-01T00:00:00" u="1"/>
        <d v="2020-09-01T00:00:00" u="1"/>
        <d v="2021-09-01T00:00:00" u="1"/>
        <d v="2010-04-01T00:00:00" u="1"/>
        <d v="2011-04-01T00:00:00" u="1"/>
        <d v="2012-04-01T00:00:00" u="1"/>
        <d v="2013-04-01T00:00:00" u="1"/>
        <d v="2014-04-01T00:00:00" u="1"/>
        <d v="2015-04-01T00:00:00" u="1"/>
        <d v="2016-04-01T00:00:00" u="1"/>
        <d v="2017-04-01T00:00:00" u="1"/>
        <d v="2018-04-01T00:00:00" u="1"/>
        <d v="2019-04-01T00:00:00" u="1"/>
        <d v="2020-04-01T00:00:00" u="1"/>
        <d v="2010-10-01T00:00:00" u="1"/>
        <d v="2021-04-01T00:00:00" u="1"/>
        <d v="2011-10-01T00:00:00" u="1"/>
        <d v="2012-10-01T00:00:00" u="1"/>
        <d v="2013-10-01T00:00:00" u="1"/>
        <d v="2014-10-01T00:00:00" u="1"/>
        <d v="2015-10-01T00:00:00" u="1"/>
        <d v="2016-10-01T00:00:00" u="1"/>
        <d v="2017-10-01T00:00:00" u="1"/>
        <d v="2018-10-01T00:00:00" u="1"/>
        <d v="2019-10-01T00:00:00" u="1"/>
        <d v="2020-10-01T00:00:00" u="1"/>
        <d v="2021-10-01T00:00:00" u="1"/>
        <d v="2010-05-01T00:00:00" u="1"/>
        <d v="2011-05-01T00:00:00" u="1"/>
        <d v="2012-05-01T00:00:00" u="1"/>
      </sharedItems>
    </cacheField>
    <cacheField name="Billing_x000a_Date*" numFmtId="14">
      <sharedItems containsSemiMixedTypes="0" containsNonDate="0" containsDate="1" containsString="0" minDate="2025-02-05T00:00:00" maxDate="2026-01-07T00:00:00"/>
    </cacheField>
    <cacheField name="Payment Received*" numFmtId="14">
      <sharedItems containsSemiMixedTypes="0" containsNonDate="0" containsDate="1" containsString="0" minDate="2025-02-24T00:00:00" maxDate="2026-01-27T00:00:00"/>
    </cacheField>
    <cacheField name="Customer" numFmtId="0">
      <sharedItems count="22">
        <s v="PSO"/>
        <s v="SWEPCO"/>
        <s v="SWEPCO-Valley"/>
        <s v="AECC"/>
        <s v="AECI"/>
        <s v="WFEC"/>
        <s v="OMPA"/>
        <s v="OG&amp;E"/>
        <s v="ETEC"/>
        <s v="Greenbelt"/>
        <s v="Lighthouse"/>
        <s v="Bentonville, AR"/>
        <s v="Prescott, AR"/>
        <s v="Minden, LA"/>
        <s v="Hope, AR"/>
        <s v="Coffeyville, KS"/>
        <s v="Bentonville" u="1"/>
        <s v="Hope" u="1"/>
        <s v="NTEC" u="1"/>
        <s v="TEXLA" u="1"/>
        <s v="Prescott" u="1"/>
        <s v="Minden" u="1"/>
      </sharedItems>
    </cacheField>
    <cacheField name="Sched." numFmtId="0">
      <sharedItems containsSemiMixedTypes="0" containsString="0" containsNumber="1" containsInteger="1" minValue="9" maxValue="9"/>
    </cacheField>
    <cacheField name="MW" numFmtId="1">
      <sharedItems containsSemiMixedTypes="0" containsString="0" containsNumber="1" containsInteger="1" minValue="0" maxValue="4110"/>
    </cacheField>
    <cacheField name="Projected Rate (as Invoiced)" numFmtId="164">
      <sharedItems containsSemiMixedTypes="0" containsString="0" containsNumber="1" minValue="14.082031249469972" maxValue="14.082031249469972"/>
    </cacheField>
    <cacheField name="Actual True-Up Rate" numFmtId="164">
      <sharedItems containsSemiMixedTypes="0" containsString="0" containsNumber="1" minValue="15.202428570079263" maxValue="15.202428570079263"/>
    </cacheField>
    <cacheField name="True-Up Charge" numFmtId="164">
      <sharedItems containsSemiMixedTypes="0" containsString="0" containsNumber="1" minValue="0" maxValue="62481.981423025769"/>
    </cacheField>
    <cacheField name="Invoiced*** Charge (proj.)" numFmtId="164">
      <sharedItems containsSemiMixedTypes="0" containsString="0" containsNumber="1" minValue="0" maxValue="57877.148435321586"/>
    </cacheField>
    <cacheField name="True-Up w/o Interest" numFmtId="164">
      <sharedItems containsSemiMixedTypes="0" containsString="0" containsNumber="1" minValue="0" maxValue="4604.8329877041833"/>
    </cacheField>
    <cacheField name="Interest" numFmtId="164">
      <sharedItems containsSemiMixedTypes="0" containsString="0" containsNumber="1" minValue="0" maxValue="329.71279065720103"/>
    </cacheField>
    <cacheField name="2023 True Up Including Interest" numFmtId="164">
      <sharedItems containsSemiMixedTypes="0" containsString="0" containsNumber="1" minValue="0" maxValue="4934.5457783613847"/>
    </cacheField>
    <cacheField name="Tax Rebilling Rate" numFmtId="164">
      <sharedItems containsSemiMixedTypes="0" containsString="0" containsNumber="1" containsInteger="1" minValue="0" maxValue="0"/>
    </cacheField>
    <cacheField name="Tax True Up Billing" numFmtId="164">
      <sharedItems containsSemiMixedTypes="0" containsString="0" containsNumber="1" containsInteger="1" minValue="0" maxValue="0"/>
    </cacheField>
    <cacheField name="Tax True Up" numFmtId="164">
      <sharedItems containsSemiMixedTypes="0" containsString="0" containsNumber="1" containsInteger="1" minValue="0" maxValue="0"/>
    </cacheField>
    <cacheField name="Total True-up" numFmtId="164">
      <sharedItems containsSemiMixedTypes="0" containsString="0" containsNumber="1" minValue="0" maxValue="4934.54577836138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d v="2025-02-05T00:00:00"/>
    <d v="2025-02-24T00:00:00"/>
    <x v="0"/>
    <n v="9"/>
    <n v="2941"/>
    <n v="14.082031249469972"/>
    <n v="15.202428570079263"/>
    <n v="44710.342424603114"/>
    <n v="41415.253904691192"/>
    <n v="3295.088519911922"/>
    <n v="235.93316723183173"/>
    <n v="3531.0216871437538"/>
    <n v="0"/>
    <n v="0"/>
    <n v="0"/>
    <n v="3531.0216871437538"/>
  </r>
  <r>
    <x v="1"/>
    <d v="2025-03-05T00:00:00"/>
    <d v="2025-03-24T00:00:00"/>
    <x v="0"/>
    <n v="9"/>
    <n v="3221"/>
    <n v="14.082031249469972"/>
    <n v="15.202428570079263"/>
    <n v="48967.02242422531"/>
    <n v="45358.222654542784"/>
    <n v="3608.7997696825259"/>
    <n v="258.39535248341718"/>
    <n v="3867.1951221659433"/>
    <n v="0"/>
    <n v="0"/>
    <n v="0"/>
    <n v="3867.1951221659433"/>
  </r>
  <r>
    <x v="2"/>
    <d v="2025-04-03T00:00:00"/>
    <d v="2025-04-24T00:00:00"/>
    <x v="0"/>
    <n v="9"/>
    <n v="2419"/>
    <n v="14.082031249469972"/>
    <n v="15.202428570079263"/>
    <n v="36774.67471102174"/>
    <n v="34064.43359246786"/>
    <n v="2710.2411185538804"/>
    <n v="194.05723615566166"/>
    <n v="2904.2983547095419"/>
    <n v="0"/>
    <n v="0"/>
    <n v="0"/>
    <n v="2904.2983547095419"/>
  </r>
  <r>
    <x v="3"/>
    <d v="2025-05-05T00:00:00"/>
    <d v="2025-05-26T00:00:00"/>
    <x v="0"/>
    <n v="9"/>
    <n v="2717"/>
    <n v="14.082031249469972"/>
    <n v="15.202428570079263"/>
    <n v="41304.99842490536"/>
    <n v="38260.878904809913"/>
    <n v="3044.1195200954462"/>
    <n v="217.96341903056333"/>
    <n v="3262.0829391260095"/>
    <n v="0"/>
    <n v="0"/>
    <n v="0"/>
    <n v="3262.0829391260095"/>
  </r>
  <r>
    <x v="4"/>
    <d v="2025-06-04T00:00:00"/>
    <d v="2025-06-24T00:00:00"/>
    <x v="0"/>
    <n v="9"/>
    <n v="3378"/>
    <n v="14.082031249469972"/>
    <n v="15.202428570079263"/>
    <n v="51353.803709727748"/>
    <n v="47569.101560709569"/>
    <n v="3784.7021490181796"/>
    <n v="270.99022064234185"/>
    <n v="4055.6923696605213"/>
    <n v="0"/>
    <n v="0"/>
    <n v="0"/>
    <n v="4055.6923696605213"/>
  </r>
  <r>
    <x v="5"/>
    <d v="2025-07-03T00:00:00"/>
    <d v="2025-07-24T00:00:00"/>
    <x v="0"/>
    <n v="9"/>
    <n v="3824"/>
    <n v="14.082031249469972"/>
    <n v="15.202428570079263"/>
    <n v="58134.086851983106"/>
    <n v="53849.687497973173"/>
    <n v="4284.3993540099327"/>
    <n v="306.76927286451019"/>
    <n v="4591.1686268744434"/>
    <n v="0"/>
    <n v="0"/>
    <n v="0"/>
    <n v="4591.1686268744434"/>
  </r>
  <r>
    <x v="6"/>
    <d v="2025-08-05T00:00:00"/>
    <d v="2025-08-25T00:00:00"/>
    <x v="0"/>
    <n v="9"/>
    <n v="4110"/>
    <n v="14.082031249469972"/>
    <n v="15.202428570079263"/>
    <n v="62481.981423025769"/>
    <n v="57877.148435321586"/>
    <n v="4604.8329877041833"/>
    <n v="329.71279065720103"/>
    <n v="4934.5457783613847"/>
    <n v="0"/>
    <n v="0"/>
    <n v="0"/>
    <n v="4934.5457783613847"/>
  </r>
  <r>
    <x v="7"/>
    <d v="2025-09-04T00:00:00"/>
    <d v="2025-09-24T00:00:00"/>
    <x v="0"/>
    <n v="9"/>
    <n v="4096"/>
    <n v="14.082031249469972"/>
    <n v="15.202428570079263"/>
    <n v="62269.147423044662"/>
    <n v="57679.999997829007"/>
    <n v="4589.1474252156549"/>
    <n v="328.58968139462178"/>
    <n v="4917.7371066102769"/>
    <n v="0"/>
    <n v="0"/>
    <n v="0"/>
    <n v="4917.7371066102769"/>
  </r>
  <r>
    <x v="8"/>
    <d v="2025-10-03T00:00:00"/>
    <d v="2025-10-24T00:00:00"/>
    <x v="0"/>
    <n v="9"/>
    <n v="3657"/>
    <n v="14.082031249469972"/>
    <n v="15.202428570079263"/>
    <n v="55595.281280779862"/>
    <n v="51497.988279311692"/>
    <n v="4097.2930014681697"/>
    <n v="293.3721838037431"/>
    <n v="4390.6651852719124"/>
    <n v="0"/>
    <n v="0"/>
    <n v="0"/>
    <n v="4390.6651852719124"/>
  </r>
  <r>
    <x v="9"/>
    <d v="2025-11-05T00:00:00"/>
    <d v="2025-11-24T00:00:00"/>
    <x v="0"/>
    <n v="9"/>
    <n v="3261"/>
    <n v="14.082031249469972"/>
    <n v="15.202428570079263"/>
    <n v="49575.11956702848"/>
    <n v="45921.503904521582"/>
    <n v="3653.6156625068979"/>
    <n v="261.60423609078651"/>
    <n v="3915.2198985976843"/>
    <n v="0"/>
    <n v="0"/>
    <n v="0"/>
    <n v="3915.2198985976843"/>
  </r>
  <r>
    <x v="10"/>
    <d v="2025-12-03T00:00:00"/>
    <d v="2025-12-24T00:00:00"/>
    <x v="0"/>
    <n v="9"/>
    <n v="2449"/>
    <n v="14.082031249469972"/>
    <n v="15.202428570079263"/>
    <n v="37230.747568124112"/>
    <n v="34486.894529951962"/>
    <n v="2743.8530381721503"/>
    <n v="196.46389886118865"/>
    <n v="2940.3169370333389"/>
    <n v="0"/>
    <n v="0"/>
    <n v="0"/>
    <n v="2940.3169370333389"/>
  </r>
  <r>
    <x v="11"/>
    <d v="2026-01-06T00:00:00"/>
    <d v="2026-01-26T00:00:00"/>
    <x v="0"/>
    <n v="9"/>
    <n v="2817"/>
    <n v="14.082031249469972"/>
    <n v="15.202428570079263"/>
    <n v="42825.241281913288"/>
    <n v="39669.082029756915"/>
    <n v="3156.1592521563725"/>
    <n v="225.98562804898671"/>
    <n v="3382.1448802053592"/>
    <n v="0"/>
    <n v="0"/>
    <n v="0"/>
    <n v="3382.1448802053592"/>
  </r>
  <r>
    <x v="0"/>
    <d v="2025-02-05T00:00:00"/>
    <d v="2025-02-24T00:00:00"/>
    <x v="1"/>
    <n v="9"/>
    <n v="3414"/>
    <n v="14.082031249469972"/>
    <n v="15.202428570079263"/>
    <n v="51901.091138250602"/>
    <n v="48076.054685690484"/>
    <n v="3825.0364525601181"/>
    <n v="273.87821588897435"/>
    <n v="4098.9146684490925"/>
    <n v="0"/>
    <n v="0"/>
    <n v="0"/>
    <n v="4098.9146684490925"/>
  </r>
  <r>
    <x v="1"/>
    <d v="2025-03-05T00:00:00"/>
    <d v="2025-03-24T00:00:00"/>
    <x v="1"/>
    <n v="9"/>
    <n v="3330"/>
    <n v="14.082031249469972"/>
    <n v="15.202428570079263"/>
    <n v="50624.087138363946"/>
    <n v="46893.164060735005"/>
    <n v="3730.9230776289405"/>
    <n v="267.13956031349869"/>
    <n v="3998.0626379424393"/>
    <n v="0"/>
    <n v="0"/>
    <n v="0"/>
    <n v="3998.0626379424393"/>
  </r>
  <r>
    <x v="2"/>
    <d v="2025-04-03T00:00:00"/>
    <d v="2025-04-24T00:00:00"/>
    <x v="1"/>
    <n v="9"/>
    <n v="2483"/>
    <n v="14.082031249469972"/>
    <n v="15.202428570079263"/>
    <n v="37747.630139506808"/>
    <n v="34965.683592433939"/>
    <n v="2781.9465470728683"/>
    <n v="199.1914499274526"/>
    <n v="2981.1379970003209"/>
    <n v="0"/>
    <n v="0"/>
    <n v="0"/>
    <n v="2981.1379970003209"/>
  </r>
  <r>
    <x v="3"/>
    <d v="2025-05-05T00:00:00"/>
    <d v="2025-05-26T00:00:00"/>
    <x v="1"/>
    <n v="9"/>
    <n v="2549"/>
    <n v="14.082031249469972"/>
    <n v="15.202428570079263"/>
    <n v="38750.99042513204"/>
    <n v="35895.097654898957"/>
    <n v="2855.8927702330839"/>
    <n v="204.48610787961204"/>
    <n v="3060.3788781126959"/>
    <n v="0"/>
    <n v="0"/>
    <n v="0"/>
    <n v="3060.3788781126959"/>
  </r>
  <r>
    <x v="4"/>
    <d v="2025-06-04T00:00:00"/>
    <d v="2025-06-24T00:00:00"/>
    <x v="1"/>
    <n v="9"/>
    <n v="3007"/>
    <n v="14.082031249469972"/>
    <n v="15.202428570079263"/>
    <n v="45713.702710228346"/>
    <n v="42344.667967156209"/>
    <n v="3369.0347430721376"/>
    <n v="241.22782518399114"/>
    <n v="3610.2625682561288"/>
    <n v="0"/>
    <n v="0"/>
    <n v="0"/>
    <n v="3610.2625682561288"/>
  </r>
  <r>
    <x v="5"/>
    <d v="2025-07-03T00:00:00"/>
    <d v="2025-07-24T00:00:00"/>
    <x v="1"/>
    <n v="9"/>
    <n v="3377"/>
    <n v="14.082031249469972"/>
    <n v="15.202428570079263"/>
    <n v="51338.601281157673"/>
    <n v="47555.0195294601"/>
    <n v="3783.5817516975731"/>
    <n v="270.90999855215767"/>
    <n v="4054.4917502497306"/>
    <n v="0"/>
    <n v="0"/>
    <n v="0"/>
    <n v="4054.4917502497306"/>
  </r>
  <r>
    <x v="6"/>
    <d v="2025-08-05T00:00:00"/>
    <d v="2025-08-25T00:00:00"/>
    <x v="1"/>
    <n v="9"/>
    <n v="3723"/>
    <n v="14.082031249469972"/>
    <n v="15.202428570079263"/>
    <n v="56598.641566405095"/>
    <n v="52427.402341776709"/>
    <n v="4171.2392246283853"/>
    <n v="298.66684175590257"/>
    <n v="4469.9060663842874"/>
    <n v="0"/>
    <n v="0"/>
    <n v="0"/>
    <n v="4469.9060663842874"/>
  </r>
  <r>
    <x v="7"/>
    <d v="2025-09-04T00:00:00"/>
    <d v="2025-09-24T00:00:00"/>
    <x v="1"/>
    <n v="9"/>
    <n v="3715"/>
    <n v="14.082031249469972"/>
    <n v="15.202428570079263"/>
    <n v="56477.022137844462"/>
    <n v="52314.746091780944"/>
    <n v="4162.2760460635182"/>
    <n v="298.02506503442868"/>
    <n v="4460.3011110979469"/>
    <n v="0"/>
    <n v="0"/>
    <n v="0"/>
    <n v="4460.3011110979469"/>
  </r>
  <r>
    <x v="8"/>
    <d v="2025-10-03T00:00:00"/>
    <d v="2025-10-24T00:00:00"/>
    <x v="1"/>
    <n v="9"/>
    <n v="3256"/>
    <n v="14.082031249469972"/>
    <n v="15.202428570079263"/>
    <n v="49499.107424178081"/>
    <n v="45851.09374827423"/>
    <n v="3648.0136759038505"/>
    <n v="261.20312563986539"/>
    <n v="3909.216801543716"/>
    <n v="0"/>
    <n v="0"/>
    <n v="0"/>
    <n v="3909.216801543716"/>
  </r>
  <r>
    <x v="9"/>
    <d v="2025-11-05T00:00:00"/>
    <d v="2025-11-24T00:00:00"/>
    <x v="1"/>
    <n v="9"/>
    <n v="3014"/>
    <n v="14.082031249469972"/>
    <n v="15.202428570079263"/>
    <n v="45820.119710218896"/>
    <n v="42443.242185902498"/>
    <n v="3376.8775243163982"/>
    <n v="241.78937981528077"/>
    <n v="3618.6669041316791"/>
    <n v="0"/>
    <n v="0"/>
    <n v="0"/>
    <n v="3618.6669041316791"/>
  </r>
  <r>
    <x v="10"/>
    <d v="2025-12-03T00:00:00"/>
    <d v="2025-12-24T00:00:00"/>
    <x v="1"/>
    <n v="9"/>
    <n v="2338"/>
    <n v="14.082031249469972"/>
    <n v="15.202428570079263"/>
    <n v="35543.277996845318"/>
    <n v="32923.789061260795"/>
    <n v="2619.4889355845226"/>
    <n v="187.55924685073873"/>
    <n v="2807.0481824352614"/>
    <n v="0"/>
    <n v="0"/>
    <n v="0"/>
    <n v="2807.0481824352614"/>
  </r>
  <r>
    <x v="11"/>
    <d v="2026-01-06T00:00:00"/>
    <d v="2026-01-26T00:00:00"/>
    <x v="1"/>
    <n v="9"/>
    <n v="2969"/>
    <n v="14.082031249469972"/>
    <n v="15.202428570079263"/>
    <n v="45136.010424565335"/>
    <n v="41809.550779676349"/>
    <n v="3326.4596448889861"/>
    <n v="238.17938575699026"/>
    <n v="3564.6390306459762"/>
    <n v="0"/>
    <n v="0"/>
    <n v="0"/>
    <n v="3564.6390306459762"/>
  </r>
  <r>
    <x v="0"/>
    <d v="2025-02-05T00:00:00"/>
    <d v="2025-02-24T00:00:00"/>
    <x v="2"/>
    <n v="9"/>
    <n v="211"/>
    <n v="14.082031249469972"/>
    <n v="15.202428570079263"/>
    <n v="3207.7124282867244"/>
    <n v="2971.308593638164"/>
    <n v="236.40383464856041"/>
    <n v="16.92686102887334"/>
    <n v="253.33069567743374"/>
    <n v="0"/>
    <n v="0"/>
    <n v="0"/>
    <n v="253.33069567743374"/>
  </r>
  <r>
    <x v="1"/>
    <d v="2025-03-05T00:00:00"/>
    <d v="2025-03-24T00:00:00"/>
    <x v="2"/>
    <n v="9"/>
    <n v="200"/>
    <n v="14.082031249469972"/>
    <n v="15.202428570079263"/>
    <n v="3040.4857140158529"/>
    <n v="2816.4062498939943"/>
    <n v="224.07946412185856"/>
    <n v="16.044418036846768"/>
    <n v="240.12388215870533"/>
    <n v="0"/>
    <n v="0"/>
    <n v="0"/>
    <n v="240.12388215870533"/>
  </r>
  <r>
    <x v="2"/>
    <d v="2025-04-03T00:00:00"/>
    <d v="2025-04-24T00:00:00"/>
    <x v="2"/>
    <n v="9"/>
    <n v="122"/>
    <n v="14.082031249469972"/>
    <n v="15.202428570079263"/>
    <n v="1854.6962855496702"/>
    <n v="1718.0078124353367"/>
    <n v="136.68847311433342"/>
    <n v="9.7870950024765282"/>
    <n v="146.47556811680994"/>
    <n v="0"/>
    <n v="0"/>
    <n v="0"/>
    <n v="146.47556811680994"/>
  </r>
  <r>
    <x v="3"/>
    <d v="2025-05-05T00:00:00"/>
    <d v="2025-05-26T00:00:00"/>
    <x v="2"/>
    <n v="9"/>
    <n v="109"/>
    <n v="14.082031249469972"/>
    <n v="15.202428570079263"/>
    <n v="1657.0647141386396"/>
    <n v="1534.9414061922271"/>
    <n v="122.12330794641252"/>
    <n v="8.7442078300814892"/>
    <n v="130.867515776494"/>
    <n v="0"/>
    <n v="0"/>
    <n v="0"/>
    <n v="130.867515776494"/>
  </r>
  <r>
    <x v="4"/>
    <d v="2025-06-04T00:00:00"/>
    <d v="2025-06-24T00:00:00"/>
    <x v="2"/>
    <n v="9"/>
    <n v="102"/>
    <n v="14.082031249469972"/>
    <n v="15.202428570079263"/>
    <n v="1550.6477141480848"/>
    <n v="1436.3671874459371"/>
    <n v="114.28052670214765"/>
    <n v="8.1826531987918507"/>
    <n v="122.46317990093951"/>
    <n v="0"/>
    <n v="0"/>
    <n v="0"/>
    <n v="122.46317990093951"/>
  </r>
  <r>
    <x v="5"/>
    <d v="2025-07-03T00:00:00"/>
    <d v="2025-07-24T00:00:00"/>
    <x v="2"/>
    <n v="9"/>
    <n v="131"/>
    <n v="14.082031249469972"/>
    <n v="15.202428570079263"/>
    <n v="1991.5181426803836"/>
    <n v="1844.7460936805664"/>
    <n v="146.77204899981712"/>
    <n v="10.509093814134632"/>
    <n v="157.28114281395176"/>
    <n v="0"/>
    <n v="0"/>
    <n v="0"/>
    <n v="157.28114281395176"/>
  </r>
  <r>
    <x v="6"/>
    <d v="2025-08-05T00:00:00"/>
    <d v="2025-08-25T00:00:00"/>
    <x v="2"/>
    <n v="9"/>
    <n v="146"/>
    <n v="14.082031249469972"/>
    <n v="15.202428570079263"/>
    <n v="2219.5545712315725"/>
    <n v="2055.9765624226161"/>
    <n v="163.57800880895638"/>
    <n v="11.712425166898139"/>
    <n v="175.29043397585451"/>
    <n v="0"/>
    <n v="0"/>
    <n v="0"/>
    <n v="175.29043397585451"/>
  </r>
  <r>
    <x v="7"/>
    <d v="2025-09-04T00:00:00"/>
    <d v="2025-09-24T00:00:00"/>
    <x v="2"/>
    <n v="9"/>
    <n v="149"/>
    <n v="14.082031249469972"/>
    <n v="15.202428570079263"/>
    <n v="2265.1618569418101"/>
    <n v="2098.2226561710258"/>
    <n v="166.93920077078428"/>
    <n v="11.953091437450842"/>
    <n v="178.89229220823512"/>
    <n v="0"/>
    <n v="0"/>
    <n v="0"/>
    <n v="178.89229220823512"/>
  </r>
  <r>
    <x v="8"/>
    <d v="2025-10-03T00:00:00"/>
    <d v="2025-10-24T00:00:00"/>
    <x v="2"/>
    <n v="9"/>
    <n v="122"/>
    <n v="14.082031249469972"/>
    <n v="15.202428570079263"/>
    <n v="1854.6962855496702"/>
    <n v="1718.0078124353367"/>
    <n v="136.68847311433342"/>
    <n v="9.7870950024765282"/>
    <n v="146.47556811680994"/>
    <n v="0"/>
    <n v="0"/>
    <n v="0"/>
    <n v="146.47556811680994"/>
  </r>
  <r>
    <x v="9"/>
    <d v="2025-11-05T00:00:00"/>
    <d v="2025-11-24T00:00:00"/>
    <x v="2"/>
    <n v="9"/>
    <n v="117"/>
    <n v="14.082031249469972"/>
    <n v="15.202428570079263"/>
    <n v="1778.6841426992737"/>
    <n v="1647.5976561879868"/>
    <n v="131.08648651128692"/>
    <n v="9.3859845515553584"/>
    <n v="140.47247106284229"/>
    <n v="0"/>
    <n v="0"/>
    <n v="0"/>
    <n v="140.47247106284229"/>
  </r>
  <r>
    <x v="10"/>
    <d v="2025-12-03T00:00:00"/>
    <d v="2025-12-24T00:00:00"/>
    <x v="2"/>
    <n v="9"/>
    <n v="118"/>
    <n v="14.082031249469972"/>
    <n v="15.202428570079263"/>
    <n v="1793.886571269353"/>
    <n v="1661.6796874374568"/>
    <n v="132.20688383189622"/>
    <n v="9.4662066417395927"/>
    <n v="141.67309047363582"/>
    <n v="0"/>
    <n v="0"/>
    <n v="0"/>
    <n v="141.67309047363582"/>
  </r>
  <r>
    <x v="11"/>
    <d v="2026-01-06T00:00:00"/>
    <d v="2026-01-26T00:00:00"/>
    <x v="2"/>
    <n v="9"/>
    <n v="178"/>
    <n v="14.082031249469972"/>
    <n v="15.202428570079263"/>
    <n v="2706.0322854741089"/>
    <n v="2506.6015624056549"/>
    <n v="199.43072306845397"/>
    <n v="14.279532052793622"/>
    <n v="213.7102551212476"/>
    <n v="0"/>
    <n v="0"/>
    <n v="0"/>
    <n v="213.7102551212476"/>
  </r>
  <r>
    <x v="0"/>
    <d v="2025-02-05T00:00:00"/>
    <d v="2025-02-24T00:00:00"/>
    <x v="3"/>
    <n v="9"/>
    <n v="966"/>
    <n v="14.082031249469972"/>
    <n v="15.202428570079263"/>
    <n v="14685.545998696569"/>
    <n v="13603.242186987993"/>
    <n v="1082.3038117085762"/>
    <n v="77.494539117969893"/>
    <n v="1159.7983508265461"/>
    <n v="0"/>
    <n v="0"/>
    <n v="0"/>
    <n v="1159.7983508265461"/>
  </r>
  <r>
    <x v="1"/>
    <d v="2025-03-05T00:00:00"/>
    <d v="2025-03-24T00:00:00"/>
    <x v="3"/>
    <n v="9"/>
    <n v="1102"/>
    <n v="14.082031249469972"/>
    <n v="15.202428570079263"/>
    <n v="16753.076284227347"/>
    <n v="15518.39843691591"/>
    <n v="1234.6778473114373"/>
    <n v="88.404743383025675"/>
    <n v="1323.0825906944629"/>
    <n v="0"/>
    <n v="0"/>
    <n v="0"/>
    <n v="1323.0825906944629"/>
  </r>
  <r>
    <x v="2"/>
    <d v="2025-04-03T00:00:00"/>
    <d v="2025-04-24T00:00:00"/>
    <x v="3"/>
    <n v="9"/>
    <n v="715"/>
    <n v="14.082031249469972"/>
    <n v="15.202428570079263"/>
    <n v="10869.736427606673"/>
    <n v="10068.65234337103"/>
    <n v="801.08408423564288"/>
    <n v="57.358794481727188"/>
    <n v="858.44287871737004"/>
    <n v="0"/>
    <n v="0"/>
    <n v="0"/>
    <n v="858.44287871737004"/>
  </r>
  <r>
    <x v="3"/>
    <d v="2025-05-05T00:00:00"/>
    <d v="2025-05-26T00:00:00"/>
    <x v="3"/>
    <n v="9"/>
    <n v="581"/>
    <n v="14.082031249469972"/>
    <n v="15.202428570079263"/>
    <n v="8832.6109992160527"/>
    <n v="8181.6601559420542"/>
    <n v="650.95084327399854"/>
    <n v="46.609034397039856"/>
    <n v="697.55987767103841"/>
    <n v="0"/>
    <n v="0"/>
    <n v="0"/>
    <n v="697.55987767103841"/>
  </r>
  <r>
    <x v="4"/>
    <d v="2025-06-04T00:00:00"/>
    <d v="2025-06-24T00:00:00"/>
    <x v="3"/>
    <n v="9"/>
    <n v="781"/>
    <n v="14.082031249469972"/>
    <n v="15.202428570079263"/>
    <n v="11873.096713231904"/>
    <n v="10998.066405836049"/>
    <n v="875.03030739585483"/>
    <n v="62.653452433886628"/>
    <n v="937.68375982974146"/>
    <n v="0"/>
    <n v="0"/>
    <n v="0"/>
    <n v="937.68375982974146"/>
  </r>
  <r>
    <x v="5"/>
    <d v="2025-07-03T00:00:00"/>
    <d v="2025-07-24T00:00:00"/>
    <x v="3"/>
    <n v="9"/>
    <n v="896"/>
    <n v="14.082031249469972"/>
    <n v="15.202428570079263"/>
    <n v="13621.37599879102"/>
    <n v="12617.499999525095"/>
    <n v="1003.8759992659252"/>
    <n v="71.878992805073509"/>
    <n v="1075.7549920709987"/>
    <n v="0"/>
    <n v="0"/>
    <n v="0"/>
    <n v="1075.7549920709987"/>
  </r>
  <r>
    <x v="6"/>
    <d v="2025-08-05T00:00:00"/>
    <d v="2025-08-25T00:00:00"/>
    <x v="3"/>
    <n v="9"/>
    <n v="1028"/>
    <n v="14.082031249469972"/>
    <n v="15.202428570079263"/>
    <n v="15628.096570041482"/>
    <n v="14476.328124455131"/>
    <n v="1151.7684455863509"/>
    <n v="82.468308709392389"/>
    <n v="1234.2367542957434"/>
    <n v="0"/>
    <n v="0"/>
    <n v="0"/>
    <n v="1234.2367542957434"/>
  </r>
  <r>
    <x v="7"/>
    <d v="2025-09-04T00:00:00"/>
    <d v="2025-09-24T00:00:00"/>
    <x v="3"/>
    <n v="9"/>
    <n v="1055"/>
    <n v="14.082031249469972"/>
    <n v="15.202428570079263"/>
    <n v="16038.562141433622"/>
    <n v="14856.542968190821"/>
    <n v="1182.0191732428011"/>
    <n v="84.634305144366706"/>
    <n v="1266.6534783871678"/>
    <n v="0"/>
    <n v="0"/>
    <n v="0"/>
    <n v="1266.6534783871678"/>
  </r>
  <r>
    <x v="8"/>
    <d v="2025-10-03T00:00:00"/>
    <d v="2025-10-24T00:00:00"/>
    <x v="3"/>
    <n v="9"/>
    <n v="815"/>
    <n v="14.082031249469972"/>
    <n v="15.202428570079263"/>
    <n v="12389.979284614599"/>
    <n v="11476.855468318028"/>
    <n v="913.12381629657102"/>
    <n v="65.38100350015057"/>
    <n v="978.50481979672156"/>
    <n v="0"/>
    <n v="0"/>
    <n v="0"/>
    <n v="978.50481979672156"/>
  </r>
  <r>
    <x v="9"/>
    <d v="2025-11-05T00:00:00"/>
    <d v="2025-11-24T00:00:00"/>
    <x v="3"/>
    <n v="9"/>
    <n v="738"/>
    <n v="14.082031249469972"/>
    <n v="15.202428570079263"/>
    <n v="11219.392284718497"/>
    <n v="10392.539062108839"/>
    <n v="826.85322260965768"/>
    <n v="59.203902555964568"/>
    <n v="886.05712516562221"/>
    <n v="0"/>
    <n v="0"/>
    <n v="0"/>
    <n v="886.05712516562221"/>
  </r>
  <r>
    <x v="10"/>
    <d v="2025-12-03T00:00:00"/>
    <d v="2025-12-24T00:00:00"/>
    <x v="3"/>
    <n v="9"/>
    <n v="706"/>
    <n v="14.082031249469972"/>
    <n v="15.202428570079263"/>
    <n v="10732.914570475959"/>
    <n v="9941.9140621258011"/>
    <n v="791.00050835015827"/>
    <n v="56.636795670069091"/>
    <n v="847.63730402022736"/>
    <n v="0"/>
    <n v="0"/>
    <n v="0"/>
    <n v="847.63730402022736"/>
  </r>
  <r>
    <x v="11"/>
    <d v="2026-01-06T00:00:00"/>
    <d v="2026-01-26T00:00:00"/>
    <x v="3"/>
    <n v="9"/>
    <n v="863"/>
    <n v="14.082031249469972"/>
    <n v="15.202428570079263"/>
    <n v="13119.695855978403"/>
    <n v="12152.792968292586"/>
    <n v="966.9028876858174"/>
    <n v="69.231663828993788"/>
    <n v="1036.1345515148112"/>
    <n v="0"/>
    <n v="0"/>
    <n v="0"/>
    <n v="1036.1345515148112"/>
  </r>
  <r>
    <x v="0"/>
    <d v="2025-02-05T00:00:00"/>
    <d v="2025-02-24T00:00:00"/>
    <x v="4"/>
    <n v="9"/>
    <n v="47"/>
    <n v="14.082031249469972"/>
    <n v="15.202428570079263"/>
    <n v="714.51414279372534"/>
    <n v="661.85546872508871"/>
    <n v="52.658674068636628"/>
    <n v="3.7704382386589903"/>
    <n v="56.429112307295618"/>
    <n v="0"/>
    <n v="0"/>
    <n v="0"/>
    <n v="56.429112307295618"/>
  </r>
  <r>
    <x v="1"/>
    <d v="2025-03-05T00:00:00"/>
    <d v="2025-03-24T00:00:00"/>
    <x v="4"/>
    <n v="9"/>
    <n v="57"/>
    <n v="14.082031249469972"/>
    <n v="15.202428570079263"/>
    <n v="866.53842849451803"/>
    <n v="802.6757812197884"/>
    <n v="63.862647274729625"/>
    <n v="4.5726591405013286"/>
    <n v="68.435306415230954"/>
    <n v="0"/>
    <n v="0"/>
    <n v="0"/>
    <n v="68.435306415230954"/>
  </r>
  <r>
    <x v="2"/>
    <d v="2025-04-03T00:00:00"/>
    <d v="2025-04-24T00:00:00"/>
    <x v="4"/>
    <n v="9"/>
    <n v="34"/>
    <n v="14.082031249469972"/>
    <n v="15.202428570079263"/>
    <n v="516.88257138269501"/>
    <n v="478.78906248197904"/>
    <n v="38.09350890071596"/>
    <n v="2.7275510662639504"/>
    <n v="40.821059966979909"/>
    <n v="0"/>
    <n v="0"/>
    <n v="0"/>
    <n v="40.821059966979909"/>
  </r>
  <r>
    <x v="3"/>
    <d v="2025-05-05T00:00:00"/>
    <d v="2025-05-26T00:00:00"/>
    <x v="4"/>
    <n v="9"/>
    <n v="27"/>
    <n v="14.082031249469972"/>
    <n v="15.202428570079263"/>
    <n v="410.46557139214008"/>
    <n v="380.21484373568927"/>
    <n v="30.250727656450806"/>
    <n v="2.1659964349743137"/>
    <n v="32.416724091425117"/>
    <n v="0"/>
    <n v="0"/>
    <n v="0"/>
    <n v="32.416724091425117"/>
  </r>
  <r>
    <x v="4"/>
    <d v="2025-06-04T00:00:00"/>
    <d v="2025-06-24T00:00:00"/>
    <x v="4"/>
    <n v="9"/>
    <n v="40"/>
    <n v="14.082031249469972"/>
    <n v="15.202428570079263"/>
    <n v="608.09714280317053"/>
    <n v="563.28124997879888"/>
    <n v="44.815892824371645"/>
    <n v="3.2088836073693532"/>
    <n v="48.024776431740996"/>
    <n v="0"/>
    <n v="0"/>
    <n v="0"/>
    <n v="48.024776431740996"/>
  </r>
  <r>
    <x v="5"/>
    <d v="2025-07-03T00:00:00"/>
    <d v="2025-07-24T00:00:00"/>
    <x v="4"/>
    <n v="9"/>
    <n v="46"/>
    <n v="14.082031249469972"/>
    <n v="15.202428570079263"/>
    <n v="699.31171422364605"/>
    <n v="647.77343747561872"/>
    <n v="51.538276748027329"/>
    <n v="3.6902161484747564"/>
    <n v="55.228492896502082"/>
    <n v="0"/>
    <n v="0"/>
    <n v="0"/>
    <n v="55.228492896502082"/>
  </r>
  <r>
    <x v="6"/>
    <d v="2025-08-05T00:00:00"/>
    <d v="2025-08-25T00:00:00"/>
    <x v="4"/>
    <n v="9"/>
    <n v="55"/>
    <n v="14.082031249469972"/>
    <n v="15.202428570079263"/>
    <n v="836.13357135435945"/>
    <n v="774.51171872084853"/>
    <n v="61.621852633510912"/>
    <n v="4.4122149601328617"/>
    <n v="66.034067593643769"/>
    <n v="0"/>
    <n v="0"/>
    <n v="0"/>
    <n v="66.034067593643769"/>
  </r>
  <r>
    <x v="7"/>
    <d v="2025-09-04T00:00:00"/>
    <d v="2025-09-24T00:00:00"/>
    <x v="4"/>
    <n v="9"/>
    <n v="55"/>
    <n v="14.082031249469972"/>
    <n v="15.202428570079263"/>
    <n v="836.13357135435945"/>
    <n v="774.51171872084853"/>
    <n v="61.621852633510912"/>
    <n v="4.4122149601328617"/>
    <n v="66.034067593643769"/>
    <n v="0"/>
    <n v="0"/>
    <n v="0"/>
    <n v="66.034067593643769"/>
  </r>
  <r>
    <x v="8"/>
    <d v="2025-10-03T00:00:00"/>
    <d v="2025-10-24T00:00:00"/>
    <x v="4"/>
    <n v="9"/>
    <n v="44"/>
    <n v="14.082031249469972"/>
    <n v="15.202428570079263"/>
    <n v="668.90685708348758"/>
    <n v="619.60937497667874"/>
    <n v="49.297482106808843"/>
    <n v="3.5297719681062891"/>
    <n v="52.827254074915132"/>
    <n v="0"/>
    <n v="0"/>
    <n v="0"/>
    <n v="52.827254074915132"/>
  </r>
  <r>
    <x v="9"/>
    <d v="2025-11-05T00:00:00"/>
    <d v="2025-11-24T00:00:00"/>
    <x v="4"/>
    <n v="9"/>
    <n v="34"/>
    <n v="14.082031249469972"/>
    <n v="15.202428570079263"/>
    <n v="516.88257138269501"/>
    <n v="478.78906248197904"/>
    <n v="38.09350890071596"/>
    <n v="2.7275510662639504"/>
    <n v="40.821059966979909"/>
    <n v="0"/>
    <n v="0"/>
    <n v="0"/>
    <n v="40.821059966979909"/>
  </r>
  <r>
    <x v="10"/>
    <d v="2025-12-03T00:00:00"/>
    <d v="2025-12-24T00:00:00"/>
    <x v="4"/>
    <n v="9"/>
    <n v="35"/>
    <n v="14.082031249469972"/>
    <n v="15.202428570079263"/>
    <n v="532.08499995277418"/>
    <n v="492.87109373144904"/>
    <n v="39.213906221325146"/>
    <n v="2.8077731564481843"/>
    <n v="42.021679377773332"/>
    <n v="0"/>
    <n v="0"/>
    <n v="0"/>
    <n v="42.021679377773332"/>
  </r>
  <r>
    <x v="11"/>
    <d v="2026-01-06T00:00:00"/>
    <d v="2026-01-26T00:00:00"/>
    <x v="4"/>
    <n v="9"/>
    <n v="39"/>
    <n v="14.082031249469972"/>
    <n v="15.202428570079263"/>
    <n v="592.89471423309124"/>
    <n v="549.19921872932889"/>
    <n v="43.695495503762345"/>
    <n v="3.1286615171851198"/>
    <n v="46.824157020947467"/>
    <n v="0"/>
    <n v="0"/>
    <n v="0"/>
    <n v="46.824157020947467"/>
  </r>
  <r>
    <x v="0"/>
    <d v="2025-02-05T00:00:00"/>
    <d v="2025-02-24T00:00:00"/>
    <x v="5"/>
    <n v="9"/>
    <n v="67"/>
    <n v="14.082031249469972"/>
    <n v="15.202428570079263"/>
    <n v="1018.5627141953106"/>
    <n v="943.4960937144881"/>
    <n v="75.066620480822507"/>
    <n v="5.3748800423436673"/>
    <n v="80.44150052316617"/>
    <n v="0"/>
    <n v="0"/>
    <n v="0"/>
    <n v="80.44150052316617"/>
  </r>
  <r>
    <x v="1"/>
    <d v="2025-03-05T00:00:00"/>
    <d v="2025-03-24T00:00:00"/>
    <x v="5"/>
    <n v="9"/>
    <n v="71"/>
    <n v="14.082031249469972"/>
    <n v="15.202428570079263"/>
    <n v="1079.3724284756277"/>
    <n v="999.82421871236807"/>
    <n v="79.548209763259592"/>
    <n v="5.6957684030806028"/>
    <n v="85.243978166340199"/>
    <n v="0"/>
    <n v="0"/>
    <n v="0"/>
    <n v="85.243978166340199"/>
  </r>
  <r>
    <x v="2"/>
    <d v="2025-04-03T00:00:00"/>
    <d v="2025-04-24T00:00:00"/>
    <x v="5"/>
    <n v="9"/>
    <n v="49"/>
    <n v="14.082031249469972"/>
    <n v="15.202428570079263"/>
    <n v="744.91899993388392"/>
    <n v="690.0195312240287"/>
    <n v="54.899468709855228"/>
    <n v="3.9308824190274581"/>
    <n v="58.830351128882683"/>
    <n v="0"/>
    <n v="0"/>
    <n v="0"/>
    <n v="58.830351128882683"/>
  </r>
  <r>
    <x v="3"/>
    <d v="2025-05-05T00:00:00"/>
    <d v="2025-05-26T00:00:00"/>
    <x v="5"/>
    <n v="9"/>
    <n v="37"/>
    <n v="14.082031249469972"/>
    <n v="15.202428570079263"/>
    <n v="562.48985709293277"/>
    <n v="521.03515623038902"/>
    <n v="41.454700862543746"/>
    <n v="2.968217336816652"/>
    <n v="44.422918199360396"/>
    <n v="0"/>
    <n v="0"/>
    <n v="0"/>
    <n v="44.422918199360396"/>
  </r>
  <r>
    <x v="4"/>
    <d v="2025-06-04T00:00:00"/>
    <d v="2025-06-24T00:00:00"/>
    <x v="5"/>
    <n v="9"/>
    <n v="50"/>
    <n v="14.082031249469972"/>
    <n v="15.202428570079263"/>
    <n v="760.12142850396322"/>
    <n v="704.10156247349857"/>
    <n v="56.019866030464641"/>
    <n v="4.0111045092116919"/>
    <n v="60.030970539676332"/>
    <n v="0"/>
    <n v="0"/>
    <n v="0"/>
    <n v="60.030970539676332"/>
  </r>
  <r>
    <x v="5"/>
    <d v="2025-07-03T00:00:00"/>
    <d v="2025-07-24T00:00:00"/>
    <x v="5"/>
    <n v="9"/>
    <n v="54"/>
    <n v="14.082031249469972"/>
    <n v="15.202428570079263"/>
    <n v="820.93114278428015"/>
    <n v="760.42968747137854"/>
    <n v="60.501455312901612"/>
    <n v="4.3319928699486274"/>
    <n v="64.833448182850233"/>
    <n v="0"/>
    <n v="0"/>
    <n v="0"/>
    <n v="64.833448182850233"/>
  </r>
  <r>
    <x v="6"/>
    <d v="2025-08-05T00:00:00"/>
    <d v="2025-08-25T00:00:00"/>
    <x v="5"/>
    <n v="9"/>
    <n v="62"/>
    <n v="14.082031249469972"/>
    <n v="15.202428570079263"/>
    <n v="942.55057134491426"/>
    <n v="873.08593746713825"/>
    <n v="69.464633877776009"/>
    <n v="4.9737695914224975"/>
    <n v="74.438403469198505"/>
    <n v="0"/>
    <n v="0"/>
    <n v="0"/>
    <n v="74.438403469198505"/>
  </r>
  <r>
    <x v="7"/>
    <d v="2025-09-04T00:00:00"/>
    <d v="2025-09-24T00:00:00"/>
    <x v="5"/>
    <n v="9"/>
    <n v="55"/>
    <n v="14.082031249469972"/>
    <n v="15.202428570079263"/>
    <n v="836.13357135435945"/>
    <n v="774.51171872084853"/>
    <n v="61.621852633510912"/>
    <n v="4.4122149601328617"/>
    <n v="66.034067593643769"/>
    <n v="0"/>
    <n v="0"/>
    <n v="0"/>
    <n v="66.034067593643769"/>
  </r>
  <r>
    <x v="8"/>
    <d v="2025-10-03T00:00:00"/>
    <d v="2025-10-24T00:00:00"/>
    <x v="5"/>
    <n v="9"/>
    <n v="50"/>
    <n v="14.082031249469972"/>
    <n v="15.202428570079263"/>
    <n v="760.12142850396322"/>
    <n v="704.10156247349857"/>
    <n v="56.019866030464641"/>
    <n v="4.0111045092116919"/>
    <n v="60.030970539676332"/>
    <n v="0"/>
    <n v="0"/>
    <n v="0"/>
    <n v="60.030970539676332"/>
  </r>
  <r>
    <x v="9"/>
    <d v="2025-11-05T00:00:00"/>
    <d v="2025-11-24T00:00:00"/>
    <x v="5"/>
    <n v="9"/>
    <n v="47"/>
    <n v="14.082031249469972"/>
    <n v="15.202428570079263"/>
    <n v="714.51414279372534"/>
    <n v="661.85546872508871"/>
    <n v="52.658674068636628"/>
    <n v="3.7704382386589903"/>
    <n v="56.429112307295618"/>
    <n v="0"/>
    <n v="0"/>
    <n v="0"/>
    <n v="56.429112307295618"/>
  </r>
  <r>
    <x v="10"/>
    <d v="2025-12-03T00:00:00"/>
    <d v="2025-12-24T00:00:00"/>
    <x v="5"/>
    <n v="9"/>
    <n v="48"/>
    <n v="14.082031249469972"/>
    <n v="15.202428570079263"/>
    <n v="729.71657136380463"/>
    <n v="675.9374999745587"/>
    <n v="53.779071389245928"/>
    <n v="3.8506603288432242"/>
    <n v="57.629731718089154"/>
    <n v="0"/>
    <n v="0"/>
    <n v="0"/>
    <n v="57.629731718089154"/>
  </r>
  <r>
    <x v="11"/>
    <d v="2026-01-06T00:00:00"/>
    <d v="2026-01-26T00:00:00"/>
    <x v="5"/>
    <n v="9"/>
    <n v="58"/>
    <n v="14.082031249469972"/>
    <n v="15.202428570079263"/>
    <n v="881.74085706459732"/>
    <n v="816.7578124692584"/>
    <n v="64.983044595338924"/>
    <n v="4.6528812306855629"/>
    <n v="69.63592582602449"/>
    <n v="0"/>
    <n v="0"/>
    <n v="0"/>
    <n v="69.63592582602449"/>
  </r>
  <r>
    <x v="0"/>
    <d v="2025-02-05T00:00:00"/>
    <d v="2025-02-24T00:00:00"/>
    <x v="6"/>
    <n v="9"/>
    <n v="89"/>
    <n v="14.082031249469972"/>
    <n v="15.202428570079263"/>
    <n v="1353.0161427370545"/>
    <n v="1253.3007812028275"/>
    <n v="99.715361534226986"/>
    <n v="7.1397660263968108"/>
    <n v="106.8551275606238"/>
    <n v="0"/>
    <n v="0"/>
    <n v="0"/>
    <n v="106.8551275606238"/>
  </r>
  <r>
    <x v="1"/>
    <d v="2025-03-05T00:00:00"/>
    <d v="2025-03-24T00:00:00"/>
    <x v="6"/>
    <n v="9"/>
    <n v="102"/>
    <n v="14.082031249469972"/>
    <n v="15.202428570079263"/>
    <n v="1550.6477141480848"/>
    <n v="1436.3671874459371"/>
    <n v="114.28052670214765"/>
    <n v="8.1826531987918507"/>
    <n v="122.46317990093951"/>
    <n v="0"/>
    <n v="0"/>
    <n v="0"/>
    <n v="122.46317990093951"/>
  </r>
  <r>
    <x v="2"/>
    <d v="2025-04-03T00:00:00"/>
    <d v="2025-04-24T00:00:00"/>
    <x v="6"/>
    <n v="9"/>
    <n v="64"/>
    <n v="14.082031249469972"/>
    <n v="15.202428570079263"/>
    <n v="972.95542848507284"/>
    <n v="901.24999996607824"/>
    <n v="71.705428518994609"/>
    <n v="5.1342137717909653"/>
    <n v="76.839642290785577"/>
    <n v="0"/>
    <n v="0"/>
    <n v="0"/>
    <n v="76.839642290785577"/>
  </r>
  <r>
    <x v="3"/>
    <d v="2025-05-05T00:00:00"/>
    <d v="2025-05-26T00:00:00"/>
    <x v="6"/>
    <n v="9"/>
    <n v="71"/>
    <n v="14.082031249469972"/>
    <n v="15.202428570079263"/>
    <n v="1079.3724284756277"/>
    <n v="999.82421871236807"/>
    <n v="79.548209763259592"/>
    <n v="5.6957684030806028"/>
    <n v="85.243978166340199"/>
    <n v="0"/>
    <n v="0"/>
    <n v="0"/>
    <n v="85.243978166340199"/>
  </r>
  <r>
    <x v="4"/>
    <d v="2025-06-04T00:00:00"/>
    <d v="2025-06-24T00:00:00"/>
    <x v="6"/>
    <n v="9"/>
    <n v="108"/>
    <n v="14.082031249469972"/>
    <n v="15.202428570079263"/>
    <n v="1641.8622855685603"/>
    <n v="1520.8593749427571"/>
    <n v="121.00291062580322"/>
    <n v="8.6639857398972548"/>
    <n v="129.66689636570047"/>
    <n v="0"/>
    <n v="0"/>
    <n v="0"/>
    <n v="129.66689636570047"/>
  </r>
  <r>
    <x v="5"/>
    <d v="2025-07-03T00:00:00"/>
    <d v="2025-07-24T00:00:00"/>
    <x v="6"/>
    <n v="9"/>
    <n v="130"/>
    <n v="14.082031249469972"/>
    <n v="15.202428570079263"/>
    <n v="1976.3157141103043"/>
    <n v="1830.6640624310965"/>
    <n v="145.65165167920782"/>
    <n v="10.428871723950397"/>
    <n v="156.08052340315822"/>
    <n v="0"/>
    <n v="0"/>
    <n v="0"/>
    <n v="156.08052340315822"/>
  </r>
  <r>
    <x v="6"/>
    <d v="2025-08-05T00:00:00"/>
    <d v="2025-08-25T00:00:00"/>
    <x v="6"/>
    <n v="9"/>
    <n v="151"/>
    <n v="14.082031249469972"/>
    <n v="15.202428570079263"/>
    <n v="2295.5667140819687"/>
    <n v="2126.3867186699658"/>
    <n v="169.17999541200288"/>
    <n v="12.113535617819309"/>
    <n v="181.29353102982219"/>
    <n v="0"/>
    <n v="0"/>
    <n v="0"/>
    <n v="181.29353102982219"/>
  </r>
  <r>
    <x v="7"/>
    <d v="2025-09-04T00:00:00"/>
    <d v="2025-09-24T00:00:00"/>
    <x v="6"/>
    <n v="9"/>
    <n v="145"/>
    <n v="14.082031249469972"/>
    <n v="15.202428570079263"/>
    <n v="2204.352142661493"/>
    <n v="2041.8945311731461"/>
    <n v="162.45761148834686"/>
    <n v="11.632203076713905"/>
    <n v="174.08981456506075"/>
    <n v="0"/>
    <n v="0"/>
    <n v="0"/>
    <n v="174.08981456506075"/>
  </r>
  <r>
    <x v="8"/>
    <d v="2025-10-03T00:00:00"/>
    <d v="2025-10-24T00:00:00"/>
    <x v="6"/>
    <n v="9"/>
    <n v="126"/>
    <n v="14.082031249469972"/>
    <n v="15.202428570079263"/>
    <n v="1915.5059998299871"/>
    <n v="1774.3359374332165"/>
    <n v="141.17006239677062"/>
    <n v="10.107983363213464"/>
    <n v="151.27804575998408"/>
    <n v="0"/>
    <n v="0"/>
    <n v="0"/>
    <n v="151.27804575998408"/>
  </r>
  <r>
    <x v="9"/>
    <d v="2025-11-05T00:00:00"/>
    <d v="2025-11-24T00:00:00"/>
    <x v="6"/>
    <n v="9"/>
    <n v="106"/>
    <n v="14.082031249469972"/>
    <n v="15.202428570079263"/>
    <n v="1611.457428428402"/>
    <n v="1492.6953124438171"/>
    <n v="118.76211598458485"/>
    <n v="8.5035415595287862"/>
    <n v="127.26565754411364"/>
    <n v="0"/>
    <n v="0"/>
    <n v="0"/>
    <n v="127.26565754411364"/>
  </r>
  <r>
    <x v="10"/>
    <d v="2025-12-03T00:00:00"/>
    <d v="2025-12-24T00:00:00"/>
    <x v="6"/>
    <n v="9"/>
    <n v="67"/>
    <n v="14.082031249469972"/>
    <n v="15.202428570079263"/>
    <n v="1018.5627141953106"/>
    <n v="943.4960937144881"/>
    <n v="75.066620480822507"/>
    <n v="5.3748800423436673"/>
    <n v="80.44150052316617"/>
    <n v="0"/>
    <n v="0"/>
    <n v="0"/>
    <n v="80.44150052316617"/>
  </r>
  <r>
    <x v="11"/>
    <d v="2026-01-06T00:00:00"/>
    <d v="2026-01-26T00:00:00"/>
    <x v="6"/>
    <n v="9"/>
    <n v="82"/>
    <n v="14.082031249469972"/>
    <n v="15.202428570079263"/>
    <n v="1246.5991427464996"/>
    <n v="1154.7265624565377"/>
    <n v="91.872580289961888"/>
    <n v="6.5782113951071741"/>
    <n v="98.450791685069063"/>
    <n v="0"/>
    <n v="0"/>
    <n v="0"/>
    <n v="98.450791685069063"/>
  </r>
  <r>
    <x v="0"/>
    <d v="2025-02-05T00:00:00"/>
    <d v="2025-02-24T00:00:00"/>
    <x v="7"/>
    <n v="9"/>
    <n v="70"/>
    <n v="14.082031249469972"/>
    <n v="15.202428570079263"/>
    <n v="1064.1699999055484"/>
    <n v="985.74218746289807"/>
    <n v="78.427812442650293"/>
    <n v="5.6155463128963685"/>
    <n v="84.043358755546663"/>
    <n v="0"/>
    <n v="0"/>
    <n v="0"/>
    <n v="84.043358755546663"/>
  </r>
  <r>
    <x v="1"/>
    <d v="2025-03-05T00:00:00"/>
    <d v="2025-03-24T00:00:00"/>
    <x v="7"/>
    <n v="9"/>
    <n v="50"/>
    <n v="14.082031249469972"/>
    <n v="15.202428570079263"/>
    <n v="760.12142850396322"/>
    <n v="704.10156247349857"/>
    <n v="56.019866030464641"/>
    <n v="4.0111045092116919"/>
    <n v="60.030970539676332"/>
    <n v="0"/>
    <n v="0"/>
    <n v="0"/>
    <n v="60.030970539676332"/>
  </r>
  <r>
    <x v="2"/>
    <d v="2025-04-03T00:00:00"/>
    <d v="2025-04-24T00:00:00"/>
    <x v="7"/>
    <n v="9"/>
    <n v="67"/>
    <n v="14.082031249469972"/>
    <n v="15.202428570079263"/>
    <n v="1018.5627141953106"/>
    <n v="943.4960937144881"/>
    <n v="75.066620480822507"/>
    <n v="5.3748800423436673"/>
    <n v="80.44150052316617"/>
    <n v="0"/>
    <n v="0"/>
    <n v="0"/>
    <n v="80.44150052316617"/>
  </r>
  <r>
    <x v="3"/>
    <d v="2025-05-05T00:00:00"/>
    <d v="2025-05-26T00:00:00"/>
    <x v="7"/>
    <n v="9"/>
    <n v="71"/>
    <n v="14.082031249469972"/>
    <n v="15.202428570079263"/>
    <n v="1079.3724284756277"/>
    <n v="999.82421871236807"/>
    <n v="79.548209763259592"/>
    <n v="5.6957684030806028"/>
    <n v="85.243978166340199"/>
    <n v="0"/>
    <n v="0"/>
    <n v="0"/>
    <n v="85.243978166340199"/>
  </r>
  <r>
    <x v="4"/>
    <d v="2025-06-04T00:00:00"/>
    <d v="2025-06-24T00:00:00"/>
    <x v="7"/>
    <n v="9"/>
    <n v="64"/>
    <n v="14.082031249469972"/>
    <n v="15.202428570079263"/>
    <n v="972.95542848507284"/>
    <n v="901.24999996607824"/>
    <n v="71.705428518994609"/>
    <n v="5.1342137717909653"/>
    <n v="76.839642290785577"/>
    <n v="0"/>
    <n v="0"/>
    <n v="0"/>
    <n v="76.839642290785577"/>
  </r>
  <r>
    <x v="5"/>
    <d v="2025-07-03T00:00:00"/>
    <d v="2025-07-24T00:00:00"/>
    <x v="7"/>
    <n v="9"/>
    <n v="72"/>
    <n v="14.082031249469972"/>
    <n v="15.202428570079263"/>
    <n v="1094.5748570457069"/>
    <n v="1013.9062499618381"/>
    <n v="80.668607083868892"/>
    <n v="5.7759904932648354"/>
    <n v="86.44459757713372"/>
    <n v="0"/>
    <n v="0"/>
    <n v="0"/>
    <n v="86.44459757713372"/>
  </r>
  <r>
    <x v="6"/>
    <d v="2025-08-05T00:00:00"/>
    <d v="2025-08-25T00:00:00"/>
    <x v="7"/>
    <n v="9"/>
    <n v="11"/>
    <n v="14.082031249469972"/>
    <n v="15.202428570079263"/>
    <n v="167.22671427087189"/>
    <n v="154.90234374416968"/>
    <n v="12.324370526702211"/>
    <n v="0.88244299202657228"/>
    <n v="13.206813518728783"/>
    <n v="0"/>
    <n v="0"/>
    <n v="0"/>
    <n v="13.206813518728783"/>
  </r>
  <r>
    <x v="7"/>
    <d v="2025-09-04T00:00:00"/>
    <d v="2025-09-24T00:00:00"/>
    <x v="7"/>
    <n v="9"/>
    <n v="62"/>
    <n v="14.082031249469972"/>
    <n v="15.202428570079263"/>
    <n v="942.55057134491426"/>
    <n v="873.08593746713825"/>
    <n v="69.464633877776009"/>
    <n v="4.9737695914224975"/>
    <n v="74.438403469198505"/>
    <n v="0"/>
    <n v="0"/>
    <n v="0"/>
    <n v="74.438403469198505"/>
  </r>
  <r>
    <x v="8"/>
    <d v="2025-10-03T00:00:00"/>
    <d v="2025-10-24T00:00:00"/>
    <x v="7"/>
    <n v="9"/>
    <n v="72"/>
    <n v="14.082031249469972"/>
    <n v="15.202428570079263"/>
    <n v="1094.5748570457069"/>
    <n v="1013.9062499618381"/>
    <n v="80.668607083868892"/>
    <n v="5.7759904932648354"/>
    <n v="86.44459757713372"/>
    <n v="0"/>
    <n v="0"/>
    <n v="0"/>
    <n v="86.44459757713372"/>
  </r>
  <r>
    <x v="9"/>
    <d v="2025-11-05T00:00:00"/>
    <d v="2025-11-24T00:00:00"/>
    <x v="7"/>
    <n v="9"/>
    <n v="72"/>
    <n v="14.082031249469972"/>
    <n v="15.202428570079263"/>
    <n v="1094.5748570457069"/>
    <n v="1013.9062499618381"/>
    <n v="80.668607083868892"/>
    <n v="5.7759904932648354"/>
    <n v="86.44459757713372"/>
    <n v="0"/>
    <n v="0"/>
    <n v="0"/>
    <n v="86.44459757713372"/>
  </r>
  <r>
    <x v="10"/>
    <d v="2025-12-03T00:00:00"/>
    <d v="2025-12-24T00:00:00"/>
    <x v="7"/>
    <n v="9"/>
    <n v="67"/>
    <n v="14.082031249469972"/>
    <n v="15.202428570079263"/>
    <n v="1018.5627141953106"/>
    <n v="943.4960937144881"/>
    <n v="75.066620480822507"/>
    <n v="5.3748800423436673"/>
    <n v="80.44150052316617"/>
    <n v="0"/>
    <n v="0"/>
    <n v="0"/>
    <n v="80.44150052316617"/>
  </r>
  <r>
    <x v="11"/>
    <d v="2026-01-06T00:00:00"/>
    <d v="2026-01-26T00:00:00"/>
    <x v="7"/>
    <n v="9"/>
    <n v="68"/>
    <n v="14.082031249469972"/>
    <n v="15.202428570079263"/>
    <n v="1033.76514276539"/>
    <n v="957.57812496395809"/>
    <n v="76.187017801431921"/>
    <n v="5.4551021325279008"/>
    <n v="81.642119933959819"/>
    <n v="0"/>
    <n v="0"/>
    <n v="0"/>
    <n v="81.642119933959819"/>
  </r>
  <r>
    <x v="0"/>
    <d v="2025-02-05T00:00:00"/>
    <d v="2025-02-24T00:00:00"/>
    <x v="8"/>
    <n v="9"/>
    <n v="1315"/>
    <n v="14.082031249469972"/>
    <n v="15.202428570079263"/>
    <n v="19991.193569654231"/>
    <n v="18517.871093053014"/>
    <n v="1473.3224766012172"/>
    <n v="105.49204859226749"/>
    <n v="1578.8145251934848"/>
    <n v="0"/>
    <n v="0"/>
    <n v="0"/>
    <n v="1578.8145251934848"/>
  </r>
  <r>
    <x v="1"/>
    <d v="2025-03-05T00:00:00"/>
    <d v="2025-03-24T00:00:00"/>
    <x v="8"/>
    <n v="9"/>
    <n v="1377"/>
    <n v="14.082031249469972"/>
    <n v="15.202428570079263"/>
    <n v="20933.744140999144"/>
    <n v="19390.957030520152"/>
    <n v="1542.787110478992"/>
    <n v="110.46581818368999"/>
    <n v="1653.2529286626821"/>
    <n v="0"/>
    <n v="0"/>
    <n v="0"/>
    <n v="1653.2529286626821"/>
  </r>
  <r>
    <x v="2"/>
    <d v="2025-04-03T00:00:00"/>
    <d v="2025-04-24T00:00:00"/>
    <x v="8"/>
    <n v="9"/>
    <n v="791"/>
    <n v="14.082031249469972"/>
    <n v="15.202428570079263"/>
    <n v="12025.120998932698"/>
    <n v="11138.886718330748"/>
    <n v="886.23428060194965"/>
    <n v="63.45567333572896"/>
    <n v="949.68995393767864"/>
    <n v="0"/>
    <n v="0"/>
    <n v="0"/>
    <n v="949.68995393767864"/>
  </r>
  <r>
    <x v="3"/>
    <d v="2025-05-05T00:00:00"/>
    <d v="2025-05-26T00:00:00"/>
    <x v="8"/>
    <n v="9"/>
    <n v="603"/>
    <n v="14.082031249469972"/>
    <n v="15.202428570079263"/>
    <n v="9167.0644277577958"/>
    <n v="8491.4648434303926"/>
    <n v="675.59958432740314"/>
    <n v="48.373920381093001"/>
    <n v="723.97350470849619"/>
    <n v="0"/>
    <n v="0"/>
    <n v="0"/>
    <n v="723.97350470849619"/>
  </r>
  <r>
    <x v="4"/>
    <d v="2025-06-04T00:00:00"/>
    <d v="2025-06-24T00:00:00"/>
    <x v="8"/>
    <n v="9"/>
    <n v="738"/>
    <n v="14.082031249469972"/>
    <n v="15.202428570079263"/>
    <n v="11219.392284718497"/>
    <n v="10392.539062108839"/>
    <n v="826.85322260965768"/>
    <n v="59.203902555964568"/>
    <n v="886.05712516562221"/>
    <n v="0"/>
    <n v="0"/>
    <n v="0"/>
    <n v="886.05712516562221"/>
  </r>
  <r>
    <x v="5"/>
    <d v="2025-07-03T00:00:00"/>
    <d v="2025-07-24T00:00:00"/>
    <x v="8"/>
    <n v="9"/>
    <n v="849"/>
    <n v="14.082031249469972"/>
    <n v="15.202428570079263"/>
    <n v="12906.861855997295"/>
    <n v="11955.644530800007"/>
    <n v="951.21732519728721"/>
    <n v="68.108554566414526"/>
    <n v="1019.3258797637018"/>
    <n v="0"/>
    <n v="0"/>
    <n v="0"/>
    <n v="1019.3258797637018"/>
  </r>
  <r>
    <x v="6"/>
    <d v="2025-08-05T00:00:00"/>
    <d v="2025-08-25T00:00:00"/>
    <x v="8"/>
    <n v="9"/>
    <n v="978"/>
    <n v="14.082031249469972"/>
    <n v="15.202428570079263"/>
    <n v="14867.975141537519"/>
    <n v="13772.226561981633"/>
    <n v="1095.748579555886"/>
    <n v="78.457204200180698"/>
    <n v="1174.2057837560667"/>
    <n v="0"/>
    <n v="0"/>
    <n v="0"/>
    <n v="1174.2057837560667"/>
  </r>
  <r>
    <x v="7"/>
    <d v="2025-09-04T00:00:00"/>
    <d v="2025-09-24T00:00:00"/>
    <x v="8"/>
    <n v="9"/>
    <n v="1000"/>
    <n v="14.082031249469972"/>
    <n v="15.202428570079263"/>
    <n v="15202.428570079262"/>
    <n v="14082.031249469972"/>
    <n v="1120.3973206092905"/>
    <n v="80.222090184233835"/>
    <n v="1200.6194107935244"/>
    <n v="0"/>
    <n v="0"/>
    <n v="0"/>
    <n v="1200.6194107935244"/>
  </r>
  <r>
    <x v="8"/>
    <d v="2025-10-03T00:00:00"/>
    <d v="2025-10-24T00:00:00"/>
    <x v="8"/>
    <n v="9"/>
    <n v="844"/>
    <n v="14.082031249469972"/>
    <n v="15.202428570079263"/>
    <n v="12830.849713146898"/>
    <n v="11885.234374552656"/>
    <n v="945.61533859424162"/>
    <n v="67.70744411549336"/>
    <n v="1013.322782709735"/>
    <n v="0"/>
    <n v="0"/>
    <n v="0"/>
    <n v="1013.322782709735"/>
  </r>
  <r>
    <x v="9"/>
    <d v="2025-11-05T00:00:00"/>
    <d v="2025-11-24T00:00:00"/>
    <x v="8"/>
    <n v="9"/>
    <n v="760"/>
    <n v="14.082031249469972"/>
    <n v="15.202428570079263"/>
    <n v="11553.84571326024"/>
    <n v="10702.343749597179"/>
    <n v="851.50196366306045"/>
    <n v="60.968788540017712"/>
    <n v="912.47075220307818"/>
    <n v="0"/>
    <n v="0"/>
    <n v="0"/>
    <n v="912.47075220307818"/>
  </r>
  <r>
    <x v="10"/>
    <d v="2025-12-03T00:00:00"/>
    <d v="2025-12-24T00:00:00"/>
    <x v="8"/>
    <n v="9"/>
    <n v="748"/>
    <n v="14.082031249469972"/>
    <n v="15.202428570079263"/>
    <n v="11371.416570419289"/>
    <n v="10533.359374603539"/>
    <n v="838.05719581575067"/>
    <n v="60.006123457806908"/>
    <n v="898.06331927355757"/>
    <n v="0"/>
    <n v="0"/>
    <n v="0"/>
    <n v="898.06331927355757"/>
  </r>
  <r>
    <x v="11"/>
    <d v="2026-01-06T00:00:00"/>
    <d v="2026-01-26T00:00:00"/>
    <x v="8"/>
    <n v="9"/>
    <n v="1070"/>
    <n v="14.082031249469972"/>
    <n v="15.202428570079263"/>
    <n v="16266.598569984812"/>
    <n v="15067.77343693287"/>
    <n v="1198.8251330519415"/>
    <n v="85.837636497130205"/>
    <n v="1284.6627695490718"/>
    <n v="0"/>
    <n v="0"/>
    <n v="0"/>
    <n v="1284.6627695490718"/>
  </r>
  <r>
    <x v="0"/>
    <d v="2025-02-05T00:00:00"/>
    <d v="2025-02-24T00:00:00"/>
    <x v="9"/>
    <n v="9"/>
    <n v="7"/>
    <n v="14.082031249469972"/>
    <n v="15.202428570079263"/>
    <n v="106.41699999055484"/>
    <n v="98.574218746289802"/>
    <n v="7.8427812442650406"/>
    <n v="0.56155463128963679"/>
    <n v="8.4043358755546773"/>
    <n v="0"/>
    <n v="0"/>
    <n v="0"/>
    <n v="8.4043358755546773"/>
  </r>
  <r>
    <x v="1"/>
    <d v="2025-03-05T00:00:00"/>
    <d v="2025-03-24T00:00:00"/>
    <x v="9"/>
    <n v="9"/>
    <n v="8"/>
    <n v="14.082031249469972"/>
    <n v="15.202428570079263"/>
    <n v="121.61942856063411"/>
    <n v="112.65624999575978"/>
    <n v="8.9631785648743261"/>
    <n v="0.64177672147387066"/>
    <n v="9.6049552863481971"/>
    <n v="0"/>
    <n v="0"/>
    <n v="0"/>
    <n v="9.6049552863481971"/>
  </r>
  <r>
    <x v="2"/>
    <d v="2025-04-03T00:00:00"/>
    <d v="2025-04-24T00:00:00"/>
    <x v="9"/>
    <n v="9"/>
    <n v="7"/>
    <n v="14.082031249469972"/>
    <n v="15.202428570079263"/>
    <n v="106.41699999055484"/>
    <n v="98.574218746289802"/>
    <n v="7.8427812442650406"/>
    <n v="0.56155463128963679"/>
    <n v="8.4043358755546773"/>
    <n v="0"/>
    <n v="0"/>
    <n v="0"/>
    <n v="8.4043358755546773"/>
  </r>
  <r>
    <x v="3"/>
    <d v="2025-05-05T00:00:00"/>
    <d v="2025-05-26T00:00:00"/>
    <x v="9"/>
    <n v="9"/>
    <n v="3"/>
    <n v="14.082031249469972"/>
    <n v="15.202428570079263"/>
    <n v="45.60728571023779"/>
    <n v="42.246093748409919"/>
    <n v="3.3611919618278705"/>
    <n v="0.24066627055270151"/>
    <n v="3.6018582323805721"/>
    <n v="0"/>
    <n v="0"/>
    <n v="0"/>
    <n v="3.6018582323805721"/>
  </r>
  <r>
    <x v="4"/>
    <d v="2025-06-04T00:00:00"/>
    <d v="2025-06-24T00:00:00"/>
    <x v="9"/>
    <n v="9"/>
    <n v="5"/>
    <n v="14.082031249469972"/>
    <n v="15.202428570079263"/>
    <n v="76.012142850396316"/>
    <n v="70.41015624734986"/>
    <n v="5.6019866030464556"/>
    <n v="0.40111045092116915"/>
    <n v="6.0030970539676245"/>
    <n v="0"/>
    <n v="0"/>
    <n v="0"/>
    <n v="6.0030970539676245"/>
  </r>
  <r>
    <x v="5"/>
    <d v="2025-07-03T00:00:00"/>
    <d v="2025-07-24T00:00:00"/>
    <x v="9"/>
    <n v="9"/>
    <n v="10"/>
    <n v="14.082031249469972"/>
    <n v="15.202428570079263"/>
    <n v="152.02428570079263"/>
    <n v="140.82031249469972"/>
    <n v="11.203973206092911"/>
    <n v="0.8022209018423383"/>
    <n v="12.006194107935249"/>
    <n v="0"/>
    <n v="0"/>
    <n v="0"/>
    <n v="12.006194107935249"/>
  </r>
  <r>
    <x v="6"/>
    <d v="2025-08-05T00:00:00"/>
    <d v="2025-08-25T00:00:00"/>
    <x v="9"/>
    <n v="9"/>
    <n v="17"/>
    <n v="14.082031249469972"/>
    <n v="15.202428570079263"/>
    <n v="258.4412856913475"/>
    <n v="239.39453124098952"/>
    <n v="19.04675445035798"/>
    <n v="1.3637755331319752"/>
    <n v="20.410529983489955"/>
    <n v="0"/>
    <n v="0"/>
    <n v="0"/>
    <n v="20.410529983489955"/>
  </r>
  <r>
    <x v="7"/>
    <d v="2025-09-04T00:00:00"/>
    <d v="2025-09-24T00:00:00"/>
    <x v="9"/>
    <n v="9"/>
    <n v="16"/>
    <n v="14.082031249469972"/>
    <n v="15.202428570079263"/>
    <n v="243.23885712126821"/>
    <n v="225.31249999151956"/>
    <n v="17.926357129748652"/>
    <n v="1.2835534429477413"/>
    <n v="19.209910572696394"/>
    <n v="0"/>
    <n v="0"/>
    <n v="0"/>
    <n v="19.209910572696394"/>
  </r>
  <r>
    <x v="8"/>
    <d v="2025-10-03T00:00:00"/>
    <d v="2025-10-24T00:00:00"/>
    <x v="9"/>
    <n v="9"/>
    <n v="8"/>
    <n v="14.082031249469972"/>
    <n v="15.202428570079263"/>
    <n v="121.61942856063411"/>
    <n v="112.65624999575978"/>
    <n v="8.9631785648743261"/>
    <n v="0.64177672147387066"/>
    <n v="9.6049552863481971"/>
    <n v="0"/>
    <n v="0"/>
    <n v="0"/>
    <n v="9.6049552863481971"/>
  </r>
  <r>
    <x v="9"/>
    <d v="2025-11-05T00:00:00"/>
    <d v="2025-11-24T00:00:00"/>
    <x v="9"/>
    <n v="9"/>
    <n v="8"/>
    <n v="14.082031249469972"/>
    <n v="15.202428570079263"/>
    <n v="121.61942856063411"/>
    <n v="112.65624999575978"/>
    <n v="8.9631785648743261"/>
    <n v="0.64177672147387066"/>
    <n v="9.6049552863481971"/>
    <n v="0"/>
    <n v="0"/>
    <n v="0"/>
    <n v="9.6049552863481971"/>
  </r>
  <r>
    <x v="10"/>
    <d v="2025-12-03T00:00:00"/>
    <d v="2025-12-24T00:00:00"/>
    <x v="9"/>
    <n v="9"/>
    <n v="6"/>
    <n v="14.082031249469972"/>
    <n v="15.202428570079263"/>
    <n v="91.214571420475579"/>
    <n v="84.492187496819838"/>
    <n v="6.722383923655741"/>
    <n v="0.48133254110540302"/>
    <n v="7.2037164647611442"/>
    <n v="0"/>
    <n v="0"/>
    <n v="0"/>
    <n v="7.2037164647611442"/>
  </r>
  <r>
    <x v="11"/>
    <d v="2026-01-06T00:00:00"/>
    <d v="2026-01-26T00:00:00"/>
    <x v="9"/>
    <n v="9"/>
    <n v="7"/>
    <n v="14.082031249469972"/>
    <n v="15.202428570079263"/>
    <n v="106.41699999055484"/>
    <n v="98.574218746289802"/>
    <n v="7.8427812442650406"/>
    <n v="0.56155463128963679"/>
    <n v="8.4043358755546773"/>
    <n v="0"/>
    <n v="0"/>
    <n v="0"/>
    <n v="8.4043358755546773"/>
  </r>
  <r>
    <x v="0"/>
    <d v="2025-02-05T00:00:00"/>
    <d v="2025-02-24T00:00:00"/>
    <x v="10"/>
    <n v="9"/>
    <n v="2"/>
    <n v="14.082031249469972"/>
    <n v="15.202428570079263"/>
    <n v="30.404857140158526"/>
    <n v="28.164062498939945"/>
    <n v="2.2407946412185815"/>
    <n v="0.16044418036846766"/>
    <n v="2.4012388215870493"/>
    <n v="0"/>
    <n v="0"/>
    <n v="0"/>
    <n v="2.4012388215870493"/>
  </r>
  <r>
    <x v="1"/>
    <d v="2025-03-05T00:00:00"/>
    <d v="2025-03-24T00:00:00"/>
    <x v="10"/>
    <n v="9"/>
    <n v="3"/>
    <n v="14.082031249469972"/>
    <n v="15.202428570079263"/>
    <n v="45.60728571023779"/>
    <n v="42.246093748409919"/>
    <n v="3.3611919618278705"/>
    <n v="0.24066627055270151"/>
    <n v="3.6018582323805721"/>
    <n v="0"/>
    <n v="0"/>
    <n v="0"/>
    <n v="3.6018582323805721"/>
  </r>
  <r>
    <x v="2"/>
    <d v="2025-04-03T00:00:00"/>
    <d v="2025-04-24T00:00:00"/>
    <x v="10"/>
    <n v="9"/>
    <n v="2"/>
    <n v="14.082031249469972"/>
    <n v="15.202428570079263"/>
    <n v="30.404857140158526"/>
    <n v="28.164062498939945"/>
    <n v="2.2407946412185815"/>
    <n v="0.16044418036846766"/>
    <n v="2.4012388215870493"/>
    <n v="0"/>
    <n v="0"/>
    <n v="0"/>
    <n v="2.4012388215870493"/>
  </r>
  <r>
    <x v="3"/>
    <d v="2025-05-05T00:00:00"/>
    <d v="2025-05-26T00:00:00"/>
    <x v="10"/>
    <n v="9"/>
    <n v="1"/>
    <n v="14.082031249469972"/>
    <n v="15.202428570079263"/>
    <n v="15.202428570079263"/>
    <n v="14.082031249469972"/>
    <n v="1.1203973206092908"/>
    <n v="8.0222090184233832E-2"/>
    <n v="1.2006194107935246"/>
    <n v="0"/>
    <n v="0"/>
    <n v="0"/>
    <n v="1.2006194107935246"/>
  </r>
  <r>
    <x v="4"/>
    <d v="2025-06-04T00:00:00"/>
    <d v="2025-06-24T00:00:00"/>
    <x v="10"/>
    <n v="9"/>
    <n v="2"/>
    <n v="14.082031249469972"/>
    <n v="15.202428570079263"/>
    <n v="30.404857140158526"/>
    <n v="28.164062498939945"/>
    <n v="2.2407946412185815"/>
    <n v="0.16044418036846766"/>
    <n v="2.4012388215870493"/>
    <n v="0"/>
    <n v="0"/>
    <n v="0"/>
    <n v="2.4012388215870493"/>
  </r>
  <r>
    <x v="5"/>
    <d v="2025-07-03T00:00:00"/>
    <d v="2025-07-24T00:00:00"/>
    <x v="10"/>
    <n v="9"/>
    <n v="3"/>
    <n v="14.082031249469972"/>
    <n v="15.202428570079263"/>
    <n v="45.60728571023779"/>
    <n v="42.246093748409919"/>
    <n v="3.3611919618278705"/>
    <n v="0.24066627055270151"/>
    <n v="3.6018582323805721"/>
    <n v="0"/>
    <n v="0"/>
    <n v="0"/>
    <n v="3.6018582323805721"/>
  </r>
  <r>
    <x v="6"/>
    <d v="2025-08-05T00:00:00"/>
    <d v="2025-08-25T00:00:00"/>
    <x v="10"/>
    <n v="9"/>
    <n v="7"/>
    <n v="14.082031249469972"/>
    <n v="15.202428570079263"/>
    <n v="106.41699999055484"/>
    <n v="98.574218746289802"/>
    <n v="7.8427812442650406"/>
    <n v="0.56155463128963679"/>
    <n v="8.4043358755546773"/>
    <n v="0"/>
    <n v="0"/>
    <n v="0"/>
    <n v="8.4043358755546773"/>
  </r>
  <r>
    <x v="7"/>
    <d v="2025-09-04T00:00:00"/>
    <d v="2025-09-24T00:00:00"/>
    <x v="10"/>
    <n v="9"/>
    <n v="5"/>
    <n v="14.082031249469972"/>
    <n v="15.202428570079263"/>
    <n v="76.012142850396316"/>
    <n v="70.41015624734986"/>
    <n v="5.6019866030464556"/>
    <n v="0.40111045092116915"/>
    <n v="6.0030970539676245"/>
    <n v="0"/>
    <n v="0"/>
    <n v="0"/>
    <n v="6.0030970539676245"/>
  </r>
  <r>
    <x v="8"/>
    <d v="2025-10-03T00:00:00"/>
    <d v="2025-10-24T00:00:00"/>
    <x v="10"/>
    <n v="9"/>
    <n v="2"/>
    <n v="14.082031249469972"/>
    <n v="15.202428570079263"/>
    <n v="30.404857140158526"/>
    <n v="28.164062498939945"/>
    <n v="2.2407946412185815"/>
    <n v="0.16044418036846766"/>
    <n v="2.4012388215870493"/>
    <n v="0"/>
    <n v="0"/>
    <n v="0"/>
    <n v="2.4012388215870493"/>
  </r>
  <r>
    <x v="9"/>
    <d v="2025-11-05T00:00:00"/>
    <d v="2025-11-24T00:00:00"/>
    <x v="10"/>
    <n v="9"/>
    <n v="3"/>
    <n v="14.082031249469972"/>
    <n v="15.202428570079263"/>
    <n v="45.60728571023779"/>
    <n v="42.246093748409919"/>
    <n v="3.3611919618278705"/>
    <n v="0.24066627055270151"/>
    <n v="3.6018582323805721"/>
    <n v="0"/>
    <n v="0"/>
    <n v="0"/>
    <n v="3.6018582323805721"/>
  </r>
  <r>
    <x v="10"/>
    <d v="2025-12-03T00:00:00"/>
    <d v="2025-12-24T00:00:00"/>
    <x v="10"/>
    <n v="9"/>
    <n v="1"/>
    <n v="14.082031249469972"/>
    <n v="15.202428570079263"/>
    <n v="15.202428570079263"/>
    <n v="14.082031249469972"/>
    <n v="1.1203973206092908"/>
    <n v="8.0222090184233832E-2"/>
    <n v="1.2006194107935246"/>
    <n v="0"/>
    <n v="0"/>
    <n v="0"/>
    <n v="1.2006194107935246"/>
  </r>
  <r>
    <x v="11"/>
    <d v="2026-01-06T00:00:00"/>
    <d v="2026-01-26T00:00:00"/>
    <x v="10"/>
    <n v="9"/>
    <n v="2"/>
    <n v="14.082031249469972"/>
    <n v="15.202428570079263"/>
    <n v="30.404857140158526"/>
    <n v="28.164062498939945"/>
    <n v="2.2407946412185815"/>
    <n v="0.16044418036846766"/>
    <n v="2.4012388215870493"/>
    <n v="0"/>
    <n v="0"/>
    <n v="0"/>
    <n v="2.4012388215870493"/>
  </r>
  <r>
    <x v="0"/>
    <d v="2025-02-05T00:00:00"/>
    <d v="2025-02-24T00:00:00"/>
    <x v="11"/>
    <n v="9"/>
    <n v="137"/>
    <n v="14.082031249469972"/>
    <n v="15.202428570079263"/>
    <n v="2082.7327141008591"/>
    <n v="1929.2382811773862"/>
    <n v="153.49443292347291"/>
    <n v="10.990426355240034"/>
    <n v="164.48485927871295"/>
    <n v="0"/>
    <n v="0"/>
    <n v="0"/>
    <n v="164.48485927871295"/>
  </r>
  <r>
    <x v="1"/>
    <d v="2025-03-05T00:00:00"/>
    <d v="2025-03-24T00:00:00"/>
    <x v="11"/>
    <n v="9"/>
    <n v="156"/>
    <n v="14.082031249469972"/>
    <n v="15.202428570079263"/>
    <n v="2371.5788569323649"/>
    <n v="2196.7968749173156"/>
    <n v="174.78198201504938"/>
    <n v="12.514646068740479"/>
    <n v="187.29662808378987"/>
    <n v="0"/>
    <n v="0"/>
    <n v="0"/>
    <n v="187.29662808378987"/>
  </r>
  <r>
    <x v="2"/>
    <d v="2025-04-03T00:00:00"/>
    <d v="2025-04-24T00:00:00"/>
    <x v="11"/>
    <n v="9"/>
    <n v="113"/>
    <n v="14.082031249469972"/>
    <n v="15.202428570079263"/>
    <n v="1717.8744284189568"/>
    <n v="1591.2695311901068"/>
    <n v="126.60489722884995"/>
    <n v="9.0650961908184229"/>
    <n v="135.66999341966837"/>
    <n v="0"/>
    <n v="0"/>
    <n v="0"/>
    <n v="135.66999341966837"/>
  </r>
  <r>
    <x v="3"/>
    <d v="2025-05-05T00:00:00"/>
    <d v="2025-05-26T00:00:00"/>
    <x v="11"/>
    <n v="9"/>
    <n v="112"/>
    <n v="14.082031249469972"/>
    <n v="15.202428570079263"/>
    <n v="1702.6719998488775"/>
    <n v="1577.1874999406368"/>
    <n v="125.48449990824065"/>
    <n v="8.9848741006341886"/>
    <n v="134.46937400887484"/>
    <n v="0"/>
    <n v="0"/>
    <n v="0"/>
    <n v="134.46937400887484"/>
  </r>
  <r>
    <x v="4"/>
    <d v="2025-06-04T00:00:00"/>
    <d v="2025-06-24T00:00:00"/>
    <x v="11"/>
    <n v="9"/>
    <n v="142"/>
    <n v="14.082031249469972"/>
    <n v="15.202428570079263"/>
    <n v="2158.7448569512553"/>
    <n v="1999.6484374247361"/>
    <n v="159.09641952651918"/>
    <n v="11.391536806161206"/>
    <n v="170.4879563326804"/>
    <n v="0"/>
    <n v="0"/>
    <n v="0"/>
    <n v="170.4879563326804"/>
  </r>
  <r>
    <x v="5"/>
    <d v="2025-07-03T00:00:00"/>
    <d v="2025-07-24T00:00:00"/>
    <x v="11"/>
    <n v="9"/>
    <n v="165"/>
    <n v="14.082031249469972"/>
    <n v="15.202428570079263"/>
    <n v="2508.4007140630783"/>
    <n v="2323.5351561625453"/>
    <n v="184.86555790053308"/>
    <n v="13.236644880398583"/>
    <n v="198.10220278093166"/>
    <n v="0"/>
    <n v="0"/>
    <n v="0"/>
    <n v="198.10220278093166"/>
  </r>
  <r>
    <x v="6"/>
    <d v="2025-08-05T00:00:00"/>
    <d v="2025-08-25T00:00:00"/>
    <x v="11"/>
    <n v="9"/>
    <n v="185"/>
    <n v="14.082031249469972"/>
    <n v="15.202428570079263"/>
    <n v="2812.4492854646637"/>
    <n v="2605.1757811519451"/>
    <n v="207.27350431271861"/>
    <n v="14.841086684083258"/>
    <n v="222.11459099680187"/>
    <n v="0"/>
    <n v="0"/>
    <n v="0"/>
    <n v="222.11459099680187"/>
  </r>
  <r>
    <x v="7"/>
    <d v="2025-09-04T00:00:00"/>
    <d v="2025-09-24T00:00:00"/>
    <x v="11"/>
    <n v="9"/>
    <n v="191"/>
    <n v="14.082031249469972"/>
    <n v="15.202428570079263"/>
    <n v="2903.6638568851395"/>
    <n v="2689.6679686487646"/>
    <n v="213.99588823637487"/>
    <n v="15.322419225188662"/>
    <n v="229.31830746156353"/>
    <n v="0"/>
    <n v="0"/>
    <n v="0"/>
    <n v="229.31830746156353"/>
  </r>
  <r>
    <x v="8"/>
    <d v="2025-10-03T00:00:00"/>
    <d v="2025-10-24T00:00:00"/>
    <x v="11"/>
    <n v="9"/>
    <n v="140"/>
    <n v="14.082031249469972"/>
    <n v="15.202428570079263"/>
    <n v="2128.3399998110967"/>
    <n v="1971.4843749257961"/>
    <n v="156.85562488530059"/>
    <n v="11.231092625792737"/>
    <n v="168.08671751109333"/>
    <n v="0"/>
    <n v="0"/>
    <n v="0"/>
    <n v="168.08671751109333"/>
  </r>
  <r>
    <x v="9"/>
    <d v="2025-11-05T00:00:00"/>
    <d v="2025-11-24T00:00:00"/>
    <x v="11"/>
    <n v="9"/>
    <n v="137"/>
    <n v="14.082031249469972"/>
    <n v="15.202428570079263"/>
    <n v="2082.7327141008591"/>
    <n v="1929.2382811773862"/>
    <n v="153.49443292347291"/>
    <n v="10.990426355240034"/>
    <n v="164.48485927871295"/>
    <n v="0"/>
    <n v="0"/>
    <n v="0"/>
    <n v="164.48485927871295"/>
  </r>
  <r>
    <x v="10"/>
    <d v="2025-12-03T00:00:00"/>
    <d v="2025-12-24T00:00:00"/>
    <x v="11"/>
    <n v="9"/>
    <n v="120"/>
    <n v="14.082031249469972"/>
    <n v="15.202428570079263"/>
    <n v="1824.2914284095116"/>
    <n v="1689.8437499363968"/>
    <n v="134.44767847311482"/>
    <n v="9.6266508221080596"/>
    <n v="144.07432929522287"/>
    <n v="0"/>
    <n v="0"/>
    <n v="0"/>
    <n v="144.07432929522287"/>
  </r>
  <r>
    <x v="11"/>
    <d v="2026-01-06T00:00:00"/>
    <d v="2026-01-26T00:00:00"/>
    <x v="11"/>
    <n v="9"/>
    <n v="128"/>
    <n v="14.082031249469972"/>
    <n v="15.202428570079263"/>
    <n v="1945.9108569701457"/>
    <n v="1802.4999999321565"/>
    <n v="143.41085703798922"/>
    <n v="10.268427543581931"/>
    <n v="153.67928458157115"/>
    <n v="0"/>
    <n v="0"/>
    <n v="0"/>
    <n v="153.67928458157115"/>
  </r>
  <r>
    <x v="0"/>
    <d v="2025-02-05T00:00:00"/>
    <d v="2025-02-24T00:00:00"/>
    <x v="12"/>
    <n v="9"/>
    <n v="11"/>
    <n v="14.082031249469972"/>
    <n v="15.202428570079263"/>
    <n v="167.22671427087189"/>
    <n v="154.90234374416968"/>
    <n v="12.324370526702211"/>
    <n v="0.88244299202657228"/>
    <n v="13.206813518728783"/>
    <n v="0"/>
    <n v="0"/>
    <n v="0"/>
    <n v="13.206813518728783"/>
  </r>
  <r>
    <x v="1"/>
    <d v="2025-03-05T00:00:00"/>
    <d v="2025-03-24T00:00:00"/>
    <x v="12"/>
    <n v="9"/>
    <n v="9"/>
    <n v="14.082031249469972"/>
    <n v="15.202428570079263"/>
    <n v="136.82185713071337"/>
    <n v="126.73828124522976"/>
    <n v="10.083575885483612"/>
    <n v="0.72199881165810442"/>
    <n v="10.805574697141715"/>
    <n v="0"/>
    <n v="0"/>
    <n v="0"/>
    <n v="10.805574697141715"/>
  </r>
  <r>
    <x v="2"/>
    <d v="2025-04-03T00:00:00"/>
    <d v="2025-04-24T00:00:00"/>
    <x v="12"/>
    <n v="9"/>
    <n v="8"/>
    <n v="14.082031249469972"/>
    <n v="15.202428570079263"/>
    <n v="121.61942856063411"/>
    <n v="112.65624999575978"/>
    <n v="8.9631785648743261"/>
    <n v="0.64177672147387066"/>
    <n v="9.6049552863481971"/>
    <n v="0"/>
    <n v="0"/>
    <n v="0"/>
    <n v="9.6049552863481971"/>
  </r>
  <r>
    <x v="3"/>
    <d v="2025-05-05T00:00:00"/>
    <d v="2025-05-26T00:00:00"/>
    <x v="12"/>
    <n v="9"/>
    <n v="10"/>
    <n v="14.082031249469972"/>
    <n v="15.202428570079263"/>
    <n v="152.02428570079263"/>
    <n v="140.82031249469972"/>
    <n v="11.203973206092911"/>
    <n v="0.8022209018423383"/>
    <n v="12.006194107935249"/>
    <n v="0"/>
    <n v="0"/>
    <n v="0"/>
    <n v="12.006194107935249"/>
  </r>
  <r>
    <x v="4"/>
    <d v="2025-06-04T00:00:00"/>
    <d v="2025-06-24T00:00:00"/>
    <x v="12"/>
    <n v="9"/>
    <n v="11"/>
    <n v="14.082031249469972"/>
    <n v="15.202428570079263"/>
    <n v="167.22671427087189"/>
    <n v="154.90234374416968"/>
    <n v="12.324370526702211"/>
    <n v="0.88244299202657228"/>
    <n v="13.206813518728783"/>
    <n v="0"/>
    <n v="0"/>
    <n v="0"/>
    <n v="13.206813518728783"/>
  </r>
  <r>
    <x v="5"/>
    <d v="2025-07-03T00:00:00"/>
    <d v="2025-07-24T00:00:00"/>
    <x v="12"/>
    <n v="9"/>
    <n v="11"/>
    <n v="14.082031249469972"/>
    <n v="15.202428570079263"/>
    <n v="167.22671427087189"/>
    <n v="154.90234374416968"/>
    <n v="12.324370526702211"/>
    <n v="0.88244299202657228"/>
    <n v="13.206813518728783"/>
    <n v="0"/>
    <n v="0"/>
    <n v="0"/>
    <n v="13.206813518728783"/>
  </r>
  <r>
    <x v="6"/>
    <d v="2025-08-05T00:00:00"/>
    <d v="2025-08-25T00:00:00"/>
    <x v="12"/>
    <n v="9"/>
    <n v="14"/>
    <n v="14.082031249469972"/>
    <n v="15.202428570079263"/>
    <n v="212.83399998110968"/>
    <n v="197.1484374925796"/>
    <n v="15.685562488530081"/>
    <n v="1.1231092625792736"/>
    <n v="16.808671751109355"/>
    <n v="0"/>
    <n v="0"/>
    <n v="0"/>
    <n v="16.808671751109355"/>
  </r>
  <r>
    <x v="7"/>
    <d v="2025-09-04T00:00:00"/>
    <d v="2025-09-24T00:00:00"/>
    <x v="12"/>
    <n v="9"/>
    <n v="11"/>
    <n v="14.082031249469972"/>
    <n v="15.202428570079263"/>
    <n v="167.22671427087189"/>
    <n v="154.90234374416968"/>
    <n v="12.324370526702211"/>
    <n v="0.88244299202657228"/>
    <n v="13.206813518728783"/>
    <n v="0"/>
    <n v="0"/>
    <n v="0"/>
    <n v="13.206813518728783"/>
  </r>
  <r>
    <x v="8"/>
    <d v="2025-10-03T00:00:00"/>
    <d v="2025-10-24T00:00:00"/>
    <x v="12"/>
    <n v="9"/>
    <n v="12"/>
    <n v="14.082031249469972"/>
    <n v="15.202428570079263"/>
    <n v="182.42914284095116"/>
    <n v="168.98437499363968"/>
    <n v="13.444767847311482"/>
    <n v="0.96266508221080604"/>
    <n v="14.407432929522288"/>
    <n v="0"/>
    <n v="0"/>
    <n v="0"/>
    <n v="14.407432929522288"/>
  </r>
  <r>
    <x v="9"/>
    <d v="2025-11-05T00:00:00"/>
    <d v="2025-11-24T00:00:00"/>
    <x v="12"/>
    <n v="9"/>
    <n v="13"/>
    <n v="14.082031249469972"/>
    <n v="15.202428570079263"/>
    <n v="197.63157141103042"/>
    <n v="183.06640624310964"/>
    <n v="14.565165167920782"/>
    <n v="1.0428871723950397"/>
    <n v="15.608052340315821"/>
    <n v="0"/>
    <n v="0"/>
    <n v="0"/>
    <n v="15.608052340315821"/>
  </r>
  <r>
    <x v="10"/>
    <d v="2025-12-03T00:00:00"/>
    <d v="2025-12-24T00:00:00"/>
    <x v="12"/>
    <n v="9"/>
    <n v="10"/>
    <n v="14.082031249469972"/>
    <n v="15.202428570079263"/>
    <n v="152.02428570079263"/>
    <n v="140.82031249469972"/>
    <n v="11.203973206092911"/>
    <n v="0.8022209018423383"/>
    <n v="12.006194107935249"/>
    <n v="0"/>
    <n v="0"/>
    <n v="0"/>
    <n v="12.006194107935249"/>
  </r>
  <r>
    <x v="11"/>
    <d v="2026-01-06T00:00:00"/>
    <d v="2026-01-26T00:00:00"/>
    <x v="12"/>
    <n v="9"/>
    <n v="7"/>
    <n v="14.082031249469972"/>
    <n v="15.202428570079263"/>
    <n v="106.41699999055484"/>
    <n v="98.574218746289802"/>
    <n v="7.8427812442650406"/>
    <n v="0.56155463128963679"/>
    <n v="8.4043358755546773"/>
    <n v="0"/>
    <n v="0"/>
    <n v="0"/>
    <n v="8.4043358755546773"/>
  </r>
  <r>
    <x v="0"/>
    <d v="2025-02-05T00:00:00"/>
    <d v="2025-02-24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1"/>
    <d v="2025-03-05T00:00:00"/>
    <d v="2025-03-24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2"/>
    <d v="2025-04-03T00:00:00"/>
    <d v="2025-04-24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3"/>
    <d v="2025-05-05T00:00:00"/>
    <d v="2025-05-26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4"/>
    <d v="2025-06-04T00:00:00"/>
    <d v="2025-06-24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5"/>
    <d v="2025-07-03T00:00:00"/>
    <d v="2025-07-24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6"/>
    <d v="2025-08-05T00:00:00"/>
    <d v="2025-08-25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7"/>
    <d v="2025-09-04T00:00:00"/>
    <d v="2025-09-24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8"/>
    <d v="2025-10-03T00:00:00"/>
    <d v="2025-10-24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9"/>
    <d v="2025-11-05T00:00:00"/>
    <d v="2025-11-24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10"/>
    <d v="2025-12-03T00:00:00"/>
    <d v="2025-12-24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11"/>
    <d v="2026-01-06T00:00:00"/>
    <d v="2026-01-26T00:00:00"/>
    <x v="13"/>
    <n v="9"/>
    <n v="0"/>
    <n v="14.082031249469972"/>
    <n v="15.202428570079263"/>
    <n v="0"/>
    <n v="0"/>
    <n v="0"/>
    <n v="0"/>
    <n v="0"/>
    <n v="0"/>
    <n v="0"/>
    <n v="0"/>
    <n v="0"/>
  </r>
  <r>
    <x v="0"/>
    <d v="2025-02-05T00:00:00"/>
    <d v="2025-02-24T00:00:00"/>
    <x v="14"/>
    <n v="9"/>
    <n v="37"/>
    <n v="14.082031249469972"/>
    <n v="15.202428570079263"/>
    <n v="562.48985709293277"/>
    <n v="521.03515623038902"/>
    <n v="41.454700862543746"/>
    <n v="2.968217336816652"/>
    <n v="44.422918199360396"/>
    <n v="0"/>
    <n v="0"/>
    <n v="0"/>
    <n v="44.422918199360396"/>
  </r>
  <r>
    <x v="1"/>
    <d v="2025-03-05T00:00:00"/>
    <d v="2025-03-24T00:00:00"/>
    <x v="14"/>
    <n v="9"/>
    <n v="42"/>
    <n v="14.082031249469972"/>
    <n v="15.202428570079263"/>
    <n v="638.50199994332911"/>
    <n v="591.44531247773887"/>
    <n v="47.056687465590244"/>
    <n v="3.3693277877378209"/>
    <n v="50.426015253328067"/>
    <n v="0"/>
    <n v="0"/>
    <n v="0"/>
    <n v="50.426015253328067"/>
  </r>
  <r>
    <x v="2"/>
    <d v="2025-04-03T00:00:00"/>
    <d v="2025-04-24T00:00:00"/>
    <x v="14"/>
    <n v="9"/>
    <n v="30"/>
    <n v="14.082031249469972"/>
    <n v="15.202428570079263"/>
    <n v="456.0728571023779"/>
    <n v="422.46093748409919"/>
    <n v="33.611919618278705"/>
    <n v="2.4066627055270149"/>
    <n v="36.018582323805717"/>
    <n v="0"/>
    <n v="0"/>
    <n v="0"/>
    <n v="36.018582323805717"/>
  </r>
  <r>
    <x v="3"/>
    <d v="2025-05-05T00:00:00"/>
    <d v="2025-05-26T00:00:00"/>
    <x v="14"/>
    <n v="9"/>
    <n v="32"/>
    <n v="14.082031249469972"/>
    <n v="15.202428570079263"/>
    <n v="486.47771424253642"/>
    <n v="450.62499998303912"/>
    <n v="35.852714259497304"/>
    <n v="2.5671068858954826"/>
    <n v="38.419821145392788"/>
    <n v="0"/>
    <n v="0"/>
    <n v="0"/>
    <n v="38.419821145392788"/>
  </r>
  <r>
    <x v="4"/>
    <d v="2025-06-04T00:00:00"/>
    <d v="2025-06-24T00:00:00"/>
    <x v="14"/>
    <n v="9"/>
    <n v="39"/>
    <n v="14.082031249469972"/>
    <n v="15.202428570079263"/>
    <n v="592.89471423309124"/>
    <n v="549.19921872932889"/>
    <n v="43.695495503762345"/>
    <n v="3.1286615171851198"/>
    <n v="46.824157020947467"/>
    <n v="0"/>
    <n v="0"/>
    <n v="0"/>
    <n v="46.824157020947467"/>
  </r>
  <r>
    <x v="5"/>
    <d v="2025-07-03T00:00:00"/>
    <d v="2025-07-24T00:00:00"/>
    <x v="14"/>
    <n v="9"/>
    <n v="47"/>
    <n v="14.082031249469972"/>
    <n v="15.202428570079263"/>
    <n v="714.51414279372534"/>
    <n v="661.85546872508871"/>
    <n v="52.658674068636628"/>
    <n v="3.7704382386589903"/>
    <n v="56.429112307295618"/>
    <n v="0"/>
    <n v="0"/>
    <n v="0"/>
    <n v="56.429112307295618"/>
  </r>
  <r>
    <x v="6"/>
    <d v="2025-08-05T00:00:00"/>
    <d v="2025-08-25T00:00:00"/>
    <x v="14"/>
    <n v="9"/>
    <n v="53"/>
    <n v="14.082031249469972"/>
    <n v="15.202428570079263"/>
    <n v="805.72871421420098"/>
    <n v="746.34765622190855"/>
    <n v="59.381057992292426"/>
    <n v="4.2517707797643931"/>
    <n v="63.632828772056818"/>
    <n v="0"/>
    <n v="0"/>
    <n v="0"/>
    <n v="63.632828772056818"/>
  </r>
  <r>
    <x v="7"/>
    <d v="2025-09-04T00:00:00"/>
    <d v="2025-09-24T00:00:00"/>
    <x v="14"/>
    <n v="9"/>
    <n v="52"/>
    <n v="14.082031249469972"/>
    <n v="15.202428570079263"/>
    <n v="790.52628564412169"/>
    <n v="732.26562497243856"/>
    <n v="58.260660671683127"/>
    <n v="4.1715486895801588"/>
    <n v="62.432209361263283"/>
    <n v="0"/>
    <n v="0"/>
    <n v="0"/>
    <n v="62.432209361263283"/>
  </r>
  <r>
    <x v="8"/>
    <d v="2025-10-03T00:00:00"/>
    <d v="2025-10-24T00:00:00"/>
    <x v="14"/>
    <n v="9"/>
    <n v="45"/>
    <n v="14.082031249469972"/>
    <n v="15.202428570079263"/>
    <n v="684.10928565356687"/>
    <n v="633.69140622614873"/>
    <n v="50.417879427418143"/>
    <n v="3.6099940582905226"/>
    <n v="54.027873485708668"/>
    <n v="0"/>
    <n v="0"/>
    <n v="0"/>
    <n v="54.027873485708668"/>
  </r>
  <r>
    <x v="9"/>
    <d v="2025-11-05T00:00:00"/>
    <d v="2025-11-24T00:00:00"/>
    <x v="14"/>
    <n v="9"/>
    <n v="41"/>
    <n v="14.082031249469972"/>
    <n v="15.202428570079263"/>
    <n v="623.29957137324982"/>
    <n v="577.36328122826887"/>
    <n v="45.936290144980944"/>
    <n v="3.2891056975535871"/>
    <n v="49.225395842534532"/>
    <n v="0"/>
    <n v="0"/>
    <n v="0"/>
    <n v="49.225395842534532"/>
  </r>
  <r>
    <x v="10"/>
    <d v="2025-12-03T00:00:00"/>
    <d v="2025-12-24T00:00:00"/>
    <x v="14"/>
    <n v="9"/>
    <n v="29"/>
    <n v="14.082031249469972"/>
    <n v="15.202428570079263"/>
    <n v="440.87042853229866"/>
    <n v="408.3789062346292"/>
    <n v="32.491522297669462"/>
    <n v="2.3264406153427815"/>
    <n v="34.817962913012245"/>
    <n v="0"/>
    <n v="0"/>
    <n v="0"/>
    <n v="34.817962913012245"/>
  </r>
  <r>
    <x v="11"/>
    <d v="2026-01-06T00:00:00"/>
    <d v="2026-01-26T00:00:00"/>
    <x v="14"/>
    <n v="9"/>
    <n v="36"/>
    <n v="14.082031249469972"/>
    <n v="15.202428570079263"/>
    <n v="547.28742852285347"/>
    <n v="506.95312498091903"/>
    <n v="40.334303541934446"/>
    <n v="2.8879952466324177"/>
    <n v="43.22229878856686"/>
    <n v="0"/>
    <n v="0"/>
    <n v="0"/>
    <n v="43.22229878856686"/>
  </r>
  <r>
    <x v="0"/>
    <d v="2025-02-05T00:00:00"/>
    <d v="2025-02-24T00:00:00"/>
    <x v="15"/>
    <n v="9"/>
    <n v="106"/>
    <n v="14.082031249469972"/>
    <n v="15.202428570079263"/>
    <n v="1611.457428428402"/>
    <n v="1492.6953124438171"/>
    <n v="118.76211598458485"/>
    <n v="8.5035415595287862"/>
    <n v="127.26565754411364"/>
    <n v="0"/>
    <n v="0"/>
    <n v="0"/>
    <n v="127.26565754411364"/>
  </r>
  <r>
    <x v="1"/>
    <d v="2025-03-05T00:00:00"/>
    <d v="2025-03-24T00:00:00"/>
    <x v="15"/>
    <n v="9"/>
    <n v="102"/>
    <n v="14.082031249469972"/>
    <n v="15.202428570079263"/>
    <n v="1550.6477141480848"/>
    <n v="1436.3671874459371"/>
    <n v="114.28052670214765"/>
    <n v="8.1826531987918507"/>
    <n v="122.46317990093951"/>
    <n v="0"/>
    <n v="0"/>
    <n v="0"/>
    <n v="122.46317990093951"/>
  </r>
  <r>
    <x v="2"/>
    <d v="2025-04-03T00:00:00"/>
    <d v="2025-04-24T00:00:00"/>
    <x v="15"/>
    <n v="9"/>
    <n v="100"/>
    <n v="14.082031249469972"/>
    <n v="15.202428570079263"/>
    <n v="1520.2428570079264"/>
    <n v="1408.2031249469971"/>
    <n v="112.03973206092928"/>
    <n v="8.0222090184233839"/>
    <n v="120.06194107935266"/>
    <n v="0"/>
    <n v="0"/>
    <n v="0"/>
    <n v="120.06194107935266"/>
  </r>
  <r>
    <x v="3"/>
    <d v="2025-05-05T00:00:00"/>
    <d v="2025-05-26T00:00:00"/>
    <x v="15"/>
    <n v="9"/>
    <n v="60"/>
    <n v="14.082031249469972"/>
    <n v="15.202428570079263"/>
    <n v="912.14571420475579"/>
    <n v="844.92187496819838"/>
    <n v="67.22383923655741"/>
    <n v="4.8133254110540298"/>
    <n v="72.037164647611434"/>
    <n v="0"/>
    <n v="0"/>
    <n v="0"/>
    <n v="72.037164647611434"/>
  </r>
  <r>
    <x v="4"/>
    <d v="2025-06-04T00:00:00"/>
    <d v="2025-06-24T00:00:00"/>
    <x v="15"/>
    <n v="9"/>
    <n v="96"/>
    <n v="14.082031249469972"/>
    <n v="15.202428570079263"/>
    <n v="1459.4331427276093"/>
    <n v="1351.8749999491174"/>
    <n v="107.55814277849186"/>
    <n v="7.7013206576864484"/>
    <n v="115.25946343617831"/>
    <n v="0"/>
    <n v="0"/>
    <n v="0"/>
    <n v="115.25946343617831"/>
  </r>
  <r>
    <x v="5"/>
    <d v="2025-07-03T00:00:00"/>
    <d v="2025-07-24T00:00:00"/>
    <x v="15"/>
    <n v="9"/>
    <n v="119"/>
    <n v="14.082031249469972"/>
    <n v="15.202428570079263"/>
    <n v="1809.0889998394323"/>
    <n v="1675.7617186869268"/>
    <n v="133.32728115250552"/>
    <n v="9.5464287319238252"/>
    <n v="142.87370988442933"/>
    <n v="0"/>
    <n v="0"/>
    <n v="0"/>
    <n v="142.87370988442933"/>
  </r>
  <r>
    <x v="6"/>
    <d v="2025-08-05T00:00:00"/>
    <d v="2025-08-25T00:00:00"/>
    <x v="15"/>
    <n v="9"/>
    <n v="118"/>
    <n v="14.082031249469972"/>
    <n v="15.202428570079263"/>
    <n v="1793.886571269353"/>
    <n v="1661.6796874374568"/>
    <n v="132.20688383189622"/>
    <n v="9.4662066417395927"/>
    <n v="141.67309047363582"/>
    <n v="0"/>
    <n v="0"/>
    <n v="0"/>
    <n v="141.67309047363582"/>
  </r>
  <r>
    <x v="7"/>
    <d v="2025-09-04T00:00:00"/>
    <d v="2025-09-24T00:00:00"/>
    <x v="15"/>
    <n v="9"/>
    <n v="119"/>
    <n v="14.082031249469972"/>
    <n v="15.202428570079263"/>
    <n v="1809.0889998394323"/>
    <n v="1675.7617186869268"/>
    <n v="133.32728115250552"/>
    <n v="9.5464287319238252"/>
    <n v="142.87370988442933"/>
    <n v="0"/>
    <n v="0"/>
    <n v="0"/>
    <n v="142.87370988442933"/>
  </r>
  <r>
    <x v="8"/>
    <d v="2025-10-03T00:00:00"/>
    <d v="2025-10-24T00:00:00"/>
    <x v="15"/>
    <n v="9"/>
    <n v="101"/>
    <n v="14.082031249469972"/>
    <n v="15.202428570079263"/>
    <n v="1535.4452855780055"/>
    <n v="1422.2851561964671"/>
    <n v="113.16012938153835"/>
    <n v="8.1024311086076164"/>
    <n v="121.26256049014597"/>
    <n v="0"/>
    <n v="0"/>
    <n v="0"/>
    <n v="121.26256049014597"/>
  </r>
  <r>
    <x v="9"/>
    <d v="2025-11-05T00:00:00"/>
    <d v="2025-11-24T00:00:00"/>
    <x v="15"/>
    <n v="9"/>
    <n v="106"/>
    <n v="14.082031249469972"/>
    <n v="15.202428570079263"/>
    <n v="1611.457428428402"/>
    <n v="1492.6953124438171"/>
    <n v="118.76211598458485"/>
    <n v="8.5035415595287862"/>
    <n v="127.26565754411364"/>
    <n v="0"/>
    <n v="0"/>
    <n v="0"/>
    <n v="127.26565754411364"/>
  </r>
  <r>
    <x v="10"/>
    <d v="2025-12-03T00:00:00"/>
    <d v="2025-12-24T00:00:00"/>
    <x v="15"/>
    <n v="9"/>
    <n v="35"/>
    <n v="14.082031249469972"/>
    <n v="15.202428570079263"/>
    <n v="532.08499995277418"/>
    <n v="492.87109373144904"/>
    <n v="39.213906221325146"/>
    <n v="2.8077731564481843"/>
    <n v="42.021679377773332"/>
    <n v="0"/>
    <n v="0"/>
    <n v="0"/>
    <n v="42.021679377773332"/>
  </r>
  <r>
    <x v="11"/>
    <d v="2026-01-06T00:00:00"/>
    <d v="2026-01-26T00:00:00"/>
    <x v="15"/>
    <n v="9"/>
    <n v="103"/>
    <n v="14.082031249469972"/>
    <n v="15.202428570079263"/>
    <n v="1565.8501427181641"/>
    <n v="1450.4492186954071"/>
    <n v="115.40092402275695"/>
    <n v="8.262875288976085"/>
    <n v="123.66379931173304"/>
    <n v="0"/>
    <n v="0"/>
    <n v="0"/>
    <n v="123.663799311733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11" dataOnRows="1" applyNumberFormats="0" applyBorderFormats="0" applyFontFormats="0" applyPatternFormats="0" applyAlignmentFormats="0" applyWidthHeightFormats="1" dataCaption="Data" updatedVersion="8" minRefreshableVersion="3" asteriskTotals="1" showMemberPropertyTips="0" useAutoFormatting="1" itemPrintTitles="1" createdVersion="6" indent="0" compact="0" compactData="0" gridDropZones="1">
  <location ref="A3:O123" firstHeaderRow="1" firstDataRow="2" firstDataCol="2"/>
  <pivotFields count="17">
    <pivotField axis="axisCol" compact="0" numFmtId="17" outline="0" subtotalTop="0" showAll="0" includeNewItemsInFilter="1">
      <items count="193">
        <item m="1" x="93"/>
        <item m="1" x="117"/>
        <item m="1" x="141"/>
        <item m="1" x="165"/>
        <item m="1" x="189"/>
        <item m="1" x="69"/>
        <item m="1" x="104"/>
        <item m="1" x="128"/>
        <item m="1" x="152"/>
        <item m="1" x="176"/>
        <item m="1" x="56"/>
        <item m="1" x="80"/>
        <item m="1" x="94"/>
        <item m="1" x="118"/>
        <item m="1" x="142"/>
        <item m="1" x="166"/>
        <item m="1" x="190"/>
        <item m="1" x="70"/>
        <item m="1" x="106"/>
        <item m="1" x="130"/>
        <item m="1" x="154"/>
        <item m="1" x="178"/>
        <item m="1" x="58"/>
        <item m="1" x="82"/>
        <item m="1" x="95"/>
        <item m="1" x="119"/>
        <item m="1" x="143"/>
        <item m="1" x="167"/>
        <item m="1" x="191"/>
        <item m="1" x="71"/>
        <item m="1" x="107"/>
        <item m="1" x="131"/>
        <item m="1" x="155"/>
        <item m="1" x="179"/>
        <item m="1" x="59"/>
        <item m="1" x="83"/>
        <item m="1" x="96"/>
        <item m="1" x="120"/>
        <item m="1" x="144"/>
        <item m="1" x="168"/>
        <item m="1" x="48"/>
        <item m="1" x="72"/>
        <item m="1" x="108"/>
        <item m="1" x="132"/>
        <item m="1" x="156"/>
        <item m="1" x="180"/>
        <item m="1" x="60"/>
        <item m="1" x="84"/>
        <item m="1" x="97"/>
        <item m="1" x="121"/>
        <item m="1" x="145"/>
        <item m="1" x="169"/>
        <item m="1" x="49"/>
        <item m="1" x="73"/>
        <item m="1" x="109"/>
        <item m="1" x="133"/>
        <item m="1" x="157"/>
        <item m="1" x="181"/>
        <item m="1" x="61"/>
        <item m="1" x="85"/>
        <item m="1" x="98"/>
        <item m="1" x="122"/>
        <item m="1" x="146"/>
        <item m="1" x="170"/>
        <item m="1" x="50"/>
        <item m="1" x="74"/>
        <item m="1" x="110"/>
        <item m="1" x="134"/>
        <item m="1" x="158"/>
        <item m="1" x="182"/>
        <item m="1" x="62"/>
        <item m="1" x="86"/>
        <item m="1" x="99"/>
        <item m="1" x="123"/>
        <item m="1" x="147"/>
        <item m="1" x="171"/>
        <item m="1" x="51"/>
        <item m="1" x="75"/>
        <item m="1" x="111"/>
        <item m="1" x="135"/>
        <item m="1" x="159"/>
        <item m="1" x="183"/>
        <item m="1" x="63"/>
        <item m="1" x="87"/>
        <item m="1" x="100"/>
        <item m="1" x="124"/>
        <item m="1" x="148"/>
        <item m="1" x="172"/>
        <item m="1" x="52"/>
        <item m="1" x="76"/>
        <item m="1" x="112"/>
        <item m="1" x="136"/>
        <item m="1" x="160"/>
        <item m="1" x="184"/>
        <item m="1" x="64"/>
        <item m="1" x="88"/>
        <item m="1" x="101"/>
        <item m="1" x="125"/>
        <item m="1" x="149"/>
        <item m="1" x="173"/>
        <item m="1" x="53"/>
        <item m="1" x="77"/>
        <item m="1" x="113"/>
        <item m="1" x="137"/>
        <item m="1" x="161"/>
        <item m="1" x="185"/>
        <item m="1" x="65"/>
        <item m="1" x="89"/>
        <item m="1" x="102"/>
        <item m="1" x="126"/>
        <item m="1" x="150"/>
        <item m="1" x="174"/>
        <item m="1" x="54"/>
        <item m="1" x="78"/>
        <item m="1" x="114"/>
        <item m="1" x="138"/>
        <item m="1" x="162"/>
        <item m="1" x="186"/>
        <item m="1" x="66"/>
        <item m="1" x="90"/>
        <item m="1" x="103"/>
        <item m="1" x="127"/>
        <item m="1" x="151"/>
        <item m="1" x="175"/>
        <item m="1" x="55"/>
        <item m="1" x="79"/>
        <item m="1" x="115"/>
        <item m="1" x="139"/>
        <item m="1" x="163"/>
        <item m="1" x="187"/>
        <item m="1" x="67"/>
        <item m="1" x="91"/>
        <item m="1" x="105"/>
        <item m="1" x="129"/>
        <item m="1" x="153"/>
        <item m="1" x="177"/>
        <item m="1" x="57"/>
        <item m="1" x="81"/>
        <item m="1" x="116"/>
        <item m="1" x="140"/>
        <item m="1" x="164"/>
        <item m="1" x="188"/>
        <item m="1" x="68"/>
        <item m="1" x="92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14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3">
        <item x="3"/>
        <item m="1" x="16"/>
        <item x="15"/>
        <item x="8"/>
        <item x="9"/>
        <item m="1" x="17"/>
        <item x="10"/>
        <item m="1" x="18"/>
        <item x="7"/>
        <item x="6"/>
        <item m="1" x="20"/>
        <item x="0"/>
        <item x="1"/>
        <item m="1" x="19"/>
        <item x="5"/>
        <item m="1" x="21"/>
        <item x="11"/>
        <item x="12"/>
        <item x="13"/>
        <item x="14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compact="0" numFmtId="164" outline="0" showAll="0"/>
    <pivotField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/>
  </pivotFields>
  <rowFields count="2">
    <field x="3"/>
    <field x="-2"/>
  </rowFields>
  <rowItems count="11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0"/>
  </colFields>
  <colItems count="13"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 t="grand">
      <x/>
    </i>
  </colItems>
  <dataFields count="7">
    <dataField name="Sum of True-Up Charge" fld="8" baseField="0" baseItem="0"/>
    <dataField name="Sum of True-Up w/o Interest" fld="10" baseField="0" baseItem="0"/>
    <dataField name="Sum of Interest" fld="11" baseField="0" baseItem="0"/>
    <dataField name="Sum of Total True-up" fld="16" baseField="0" baseItem="0"/>
    <dataField name="Sum of Invoiced*** Charge (proj.)" fld="9" baseField="0" baseItem="0"/>
    <dataField name="Sum of Tax True Up Billing" fld="14" baseField="0" baseItem="0"/>
    <dataField name="Sum of Tax True Up" fld="15" baseField="0" baseItem="0"/>
  </dataFields>
  <formats count="171">
    <format dxfId="17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"/>
          </reference>
        </references>
      </pivotArea>
    </format>
    <format dxfId="16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2"/>
          </reference>
        </references>
      </pivotArea>
    </format>
    <format dxfId="16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3"/>
          </reference>
        </references>
      </pivotArea>
    </format>
    <format dxfId="16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4"/>
          </reference>
        </references>
      </pivotArea>
    </format>
    <format dxfId="164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5"/>
          </reference>
        </references>
      </pivotArea>
    </format>
    <format dxfId="163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6"/>
          </reference>
        </references>
      </pivotArea>
    </format>
    <format dxfId="162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7"/>
          </reference>
        </references>
      </pivotArea>
    </format>
    <format dxfId="161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8"/>
          </reference>
        </references>
      </pivotArea>
    </format>
    <format dxfId="16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9"/>
          </reference>
        </references>
      </pivotArea>
    </format>
    <format dxfId="15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0"/>
          </reference>
        </references>
      </pivotArea>
    </format>
    <format dxfId="15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1"/>
          </reference>
        </references>
      </pivotArea>
    </format>
    <format dxfId="15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2"/>
          </reference>
        </references>
      </pivotArea>
    </format>
    <format dxfId="15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3"/>
          </reference>
        </references>
      </pivotArea>
    </format>
    <format dxfId="15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4"/>
          </reference>
        </references>
      </pivotArea>
    </format>
    <format dxfId="154">
      <pivotArea field="3" grandRow="1" outline="0" axis="axisRow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3">
      <pivotArea outline="0" fieldPosition="0">
        <references count="3">
          <reference field="4294967294" count="1" selected="0">
            <x v="2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2">
      <pivotArea outline="0" fieldPosition="0">
        <references count="3">
          <reference field="4294967294" count="1" selected="0">
            <x v="3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1">
      <pivotArea grandRow="1" grandCol="1" outline="0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0">
      <pivotArea outline="0" fieldPosition="0"/>
    </format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0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3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3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3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3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7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6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5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3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2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1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0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9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8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16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15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14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13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2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1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9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8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7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0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9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9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9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9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8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8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8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8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8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7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7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7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fieldPosition="0"/>
    </format>
    <format dxfId="72">
      <pivotArea type="origin" dataOnly="0" labelOnly="1" outline="0" fieldPosition="0"/>
    </format>
    <format dxfId="71">
      <pivotArea field="0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68">
      <pivotArea field="-2" type="button" dataOnly="0" labelOnly="1" outline="0" axis="axisRow" fieldPosition="1"/>
    </format>
    <format dxfId="67">
      <pivotArea dataOnly="0" labelOnly="1" outline="0" fieldPosition="0">
        <references count="1">
          <reference field="3" count="0"/>
        </references>
      </pivotArea>
    </format>
    <format dxfId="6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6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6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6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6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6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6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5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5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1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0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8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7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46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45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4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1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0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9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8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7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35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34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33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2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2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2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2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1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workbookViewId="0">
      <selection activeCell="R18" sqref="A1:R18"/>
    </sheetView>
  </sheetViews>
  <sheetFormatPr defaultColWidth="8.7109375" defaultRowHeight="12.75" x14ac:dyDescent="0.2"/>
  <sheetData>
    <row r="1" spans="1:2" x14ac:dyDescent="0.2">
      <c r="A1" t="s">
        <v>62</v>
      </c>
    </row>
    <row r="3" spans="1:2" x14ac:dyDescent="0.2">
      <c r="A3">
        <v>1</v>
      </c>
      <c r="B3" s="1" t="s">
        <v>64</v>
      </c>
    </row>
    <row r="4" spans="1:2" x14ac:dyDescent="0.2">
      <c r="A4">
        <v>2</v>
      </c>
      <c r="B4" s="1" t="s">
        <v>63</v>
      </c>
    </row>
    <row r="5" spans="1:2" x14ac:dyDescent="0.2">
      <c r="A5">
        <v>3</v>
      </c>
      <c r="B5" s="1" t="s">
        <v>65</v>
      </c>
    </row>
    <row r="6" spans="1:2" x14ac:dyDescent="0.2">
      <c r="A6">
        <v>4</v>
      </c>
      <c r="B6" s="2" t="s">
        <v>79</v>
      </c>
    </row>
    <row r="7" spans="1:2" x14ac:dyDescent="0.2">
      <c r="A7">
        <v>5</v>
      </c>
      <c r="B7" s="1" t="s">
        <v>66</v>
      </c>
    </row>
    <row r="8" spans="1:2" x14ac:dyDescent="0.2">
      <c r="A8">
        <v>6</v>
      </c>
      <c r="B8" s="1" t="s">
        <v>67</v>
      </c>
    </row>
    <row r="9" spans="1:2" x14ac:dyDescent="0.2">
      <c r="A9">
        <v>7</v>
      </c>
      <c r="B9" s="3" t="s">
        <v>68</v>
      </c>
    </row>
    <row r="10" spans="1:2" x14ac:dyDescent="0.2">
      <c r="A10">
        <v>8</v>
      </c>
      <c r="B10" s="1" t="s">
        <v>71</v>
      </c>
    </row>
    <row r="11" spans="1:2" x14ac:dyDescent="0.2">
      <c r="B11" s="1" t="s">
        <v>72</v>
      </c>
    </row>
    <row r="12" spans="1:2" x14ac:dyDescent="0.2">
      <c r="B12" s="3" t="s">
        <v>73</v>
      </c>
    </row>
    <row r="13" spans="1:2" x14ac:dyDescent="0.2">
      <c r="B13" s="3" t="s">
        <v>74</v>
      </c>
    </row>
    <row r="14" spans="1:2" x14ac:dyDescent="0.2">
      <c r="A14">
        <v>9</v>
      </c>
      <c r="B14" s="1" t="s">
        <v>75</v>
      </c>
    </row>
    <row r="15" spans="1:2" x14ac:dyDescent="0.2">
      <c r="A15">
        <v>10</v>
      </c>
      <c r="B15" s="1" t="s">
        <v>77</v>
      </c>
    </row>
    <row r="16" spans="1:2" x14ac:dyDescent="0.2">
      <c r="A16">
        <v>11</v>
      </c>
      <c r="B16" s="1" t="s">
        <v>78</v>
      </c>
    </row>
  </sheetData>
  <phoneticPr fontId="6" type="noConversion"/>
  <pageMargins left="0.75" right="0.75" top="1" bottom="1" header="0.5" footer="0.5"/>
  <pageSetup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1"/>
  <sheetViews>
    <sheetView tabSelected="1" topLeftCell="A4" zoomScale="85" zoomScaleNormal="85" zoomScaleSheetLayoutView="100" workbookViewId="0">
      <selection activeCell="K29" sqref="K29"/>
    </sheetView>
  </sheetViews>
  <sheetFormatPr defaultColWidth="33.28515625" defaultRowHeight="12.75" x14ac:dyDescent="0.2"/>
  <cols>
    <col min="1" max="1" width="9.140625" customWidth="1"/>
    <col min="2" max="2" width="14" customWidth="1"/>
    <col min="3" max="3" width="21.85546875" customWidth="1"/>
    <col min="4" max="4" width="15.5703125" customWidth="1"/>
    <col min="5" max="5" width="16.140625" customWidth="1"/>
    <col min="6" max="14" width="14" customWidth="1"/>
    <col min="15" max="15" width="15" customWidth="1"/>
    <col min="16" max="108" width="31.7109375" customWidth="1"/>
    <col min="109" max="109" width="11.42578125" customWidth="1"/>
  </cols>
  <sheetData>
    <row r="1" spans="2:17" x14ac:dyDescent="0.2">
      <c r="C1" s="221" t="str">
        <f>+Transactions!B1</f>
        <v>AEPTCo Formula Rate -- FERC Docket ER18-195</v>
      </c>
      <c r="D1" s="221"/>
      <c r="E1" s="221"/>
      <c r="F1" s="221"/>
      <c r="G1" s="221"/>
      <c r="H1" s="221"/>
      <c r="I1" s="221"/>
      <c r="J1" s="4">
        <v>2025</v>
      </c>
    </row>
    <row r="2" spans="2:17" x14ac:dyDescent="0.2">
      <c r="C2" s="221" t="s">
        <v>95</v>
      </c>
      <c r="D2" s="221"/>
      <c r="E2" s="221"/>
      <c r="F2" s="221"/>
      <c r="G2" s="221"/>
      <c r="H2" s="221"/>
      <c r="I2" s="221"/>
    </row>
    <row r="3" spans="2:17" x14ac:dyDescent="0.2">
      <c r="C3" s="221" t="str">
        <f>"for period 01/01/"&amp;F8&amp;" - 12/31/"&amp;F8</f>
        <v>for period 01/01/2025 - 12/31/2025</v>
      </c>
      <c r="D3" s="221"/>
      <c r="E3" s="221"/>
      <c r="F3" s="221"/>
      <c r="G3" s="221"/>
      <c r="H3" s="221"/>
      <c r="I3" s="221"/>
    </row>
    <row r="4" spans="2:17" x14ac:dyDescent="0.2">
      <c r="C4" s="221" t="s">
        <v>93</v>
      </c>
      <c r="D4" s="221"/>
      <c r="E4" s="221"/>
      <c r="F4" s="221"/>
      <c r="G4" s="221"/>
      <c r="H4" s="221"/>
      <c r="I4" s="221"/>
    </row>
    <row r="5" spans="2:17" x14ac:dyDescent="0.2">
      <c r="C5" s="5" t="str">
        <f>"Prepared:  May 24_, "&amp;J1+1&amp;""</f>
        <v>Prepared:  May 24_, 2026</v>
      </c>
      <c r="D5" s="6"/>
    </row>
    <row r="6" spans="2:17" x14ac:dyDescent="0.2">
      <c r="C6" s="7"/>
    </row>
    <row r="7" spans="2:17" x14ac:dyDescent="0.2">
      <c r="C7" s="8"/>
    </row>
    <row r="8" spans="2:17" ht="27.75" customHeight="1" thickBot="1" x14ac:dyDescent="0.25">
      <c r="F8" s="9">
        <v>2025</v>
      </c>
    </row>
    <row r="9" spans="2:17" ht="20.25" customHeight="1" x14ac:dyDescent="0.2">
      <c r="E9" s="10" t="s">
        <v>92</v>
      </c>
      <c r="F9" s="11"/>
      <c r="G9" s="12"/>
      <c r="H9" s="13"/>
    </row>
    <row r="10" spans="2:17" ht="42" customHeight="1" thickBot="1" x14ac:dyDescent="0.25">
      <c r="B10" s="14"/>
      <c r="E10" s="15" t="str">
        <f>"(per "&amp;$F8&amp;" Projections "&amp;$F8&amp;")"</f>
        <v>(per 2025 Projections 2025)</v>
      </c>
      <c r="F10" s="16" t="str">
        <f>"(per "&amp;F8&amp;" Update of May "&amp;F8+1&amp;")"</f>
        <v>(per 2025 Update of May 2026)</v>
      </c>
      <c r="G10" s="17"/>
      <c r="H10" s="16"/>
    </row>
    <row r="11" spans="2:17" ht="21.75" customHeight="1" x14ac:dyDescent="0.2">
      <c r="B11" s="18"/>
      <c r="C11" s="19" t="s">
        <v>38</v>
      </c>
      <c r="D11" s="20" t="s">
        <v>36</v>
      </c>
      <c r="E11" s="21">
        <f>Transactions!K2</f>
        <v>1458335.1561951104</v>
      </c>
      <c r="F11" s="22"/>
      <c r="G11" s="23"/>
      <c r="H11" s="24"/>
    </row>
    <row r="12" spans="2:17" ht="21.75" customHeight="1" x14ac:dyDescent="0.2">
      <c r="B12" s="18"/>
      <c r="C12" s="25"/>
      <c r="D12" s="26" t="s">
        <v>41</v>
      </c>
      <c r="E12" s="27"/>
      <c r="F12" s="28">
        <f>+Transactions!J2</f>
        <v>1609526.7200000018</v>
      </c>
      <c r="G12" s="29"/>
      <c r="H12" s="30"/>
    </row>
    <row r="13" spans="2:17" ht="21.75" customHeight="1" x14ac:dyDescent="0.2">
      <c r="B13" s="31"/>
      <c r="C13" s="32" t="s">
        <v>39</v>
      </c>
      <c r="D13" s="33" t="s">
        <v>37</v>
      </c>
      <c r="E13" s="34">
        <f>Transactions!K3</f>
        <v>14.082031249469972</v>
      </c>
      <c r="F13" s="30"/>
      <c r="G13" s="35"/>
      <c r="H13" s="36"/>
    </row>
    <row r="14" spans="2:17" ht="21.75" customHeight="1" thickBot="1" x14ac:dyDescent="0.25">
      <c r="B14" s="14"/>
      <c r="C14" s="37"/>
      <c r="D14" s="38" t="s">
        <v>40</v>
      </c>
      <c r="E14" s="39"/>
      <c r="F14" s="40">
        <f>+Transactions!J3</f>
        <v>15.202428570079263</v>
      </c>
      <c r="G14" s="41"/>
      <c r="H14" s="30"/>
    </row>
    <row r="15" spans="2:17" x14ac:dyDescent="0.2">
      <c r="B15" s="18"/>
    </row>
    <row r="16" spans="2:17" x14ac:dyDescent="0.2">
      <c r="B16" s="31"/>
      <c r="C16" s="31"/>
      <c r="D16" s="42"/>
      <c r="E16" s="31"/>
      <c r="F16" s="43"/>
      <c r="G16" s="44"/>
      <c r="H16" s="44"/>
      <c r="M16" s="46"/>
      <c r="N16" s="46"/>
      <c r="O16" s="46"/>
      <c r="P16" s="46"/>
      <c r="Q16" s="46"/>
    </row>
    <row r="17" spans="2:17" x14ac:dyDescent="0.2">
      <c r="C17" s="8"/>
      <c r="L17" s="1"/>
      <c r="M17" s="46"/>
      <c r="N17" s="46"/>
      <c r="O17" s="46"/>
      <c r="P17" s="46"/>
      <c r="Q17" s="46"/>
    </row>
    <row r="18" spans="2:17" x14ac:dyDescent="0.2">
      <c r="M18" s="46"/>
      <c r="N18" s="46"/>
      <c r="O18" s="46"/>
      <c r="P18" s="46"/>
      <c r="Q18" s="46"/>
    </row>
    <row r="19" spans="2:17" ht="21" customHeight="1" thickBot="1" x14ac:dyDescent="0.25">
      <c r="C19" s="47" t="s">
        <v>31</v>
      </c>
      <c r="D19" s="47" t="s">
        <v>32</v>
      </c>
      <c r="E19" s="48" t="s">
        <v>33</v>
      </c>
      <c r="F19" s="48" t="s">
        <v>34</v>
      </c>
      <c r="G19" s="47" t="s">
        <v>35</v>
      </c>
      <c r="H19" s="47" t="s">
        <v>91</v>
      </c>
      <c r="I19" s="48" t="s">
        <v>90</v>
      </c>
      <c r="M19" s="46"/>
      <c r="N19" s="46"/>
      <c r="O19" s="46"/>
      <c r="P19" s="46"/>
      <c r="Q19" s="46"/>
    </row>
    <row r="20" spans="2:17" ht="53.25" customHeight="1" x14ac:dyDescent="0.2">
      <c r="C20" s="49" t="s">
        <v>49</v>
      </c>
      <c r="D20" s="50" t="str">
        <f>"Actual Charge
("&amp;F8&amp;" True-Up)"</f>
        <v>Actual Charge
(2025 True-Up)</v>
      </c>
      <c r="E20" s="51" t="str">
        <f>"Invoiced for
CY"&amp;F8&amp;" Transmission Service"</f>
        <v>Invoiced for
CY2025 Transmission Service</v>
      </c>
      <c r="F20" s="50" t="s">
        <v>97</v>
      </c>
      <c r="G20" s="52" t="s">
        <v>98</v>
      </c>
      <c r="H20" s="52" t="s">
        <v>85</v>
      </c>
      <c r="I20" s="218" t="s">
        <v>99</v>
      </c>
      <c r="M20" s="46"/>
      <c r="N20" s="46"/>
      <c r="O20" s="46"/>
      <c r="P20" s="46"/>
      <c r="Q20" s="46"/>
    </row>
    <row r="21" spans="2:17" x14ac:dyDescent="0.2">
      <c r="B21" s="53"/>
      <c r="C21" s="54" t="s">
        <v>14</v>
      </c>
      <c r="D21" s="55">
        <f>GETPIVOTDATA("Sum of "&amp;T(Transactions!$J$19),Pivot!$A$3,"Customer",C21)</f>
        <v>155764.08312903214</v>
      </c>
      <c r="E21" s="55">
        <f>GETPIVOTDATA("Sum of "&amp;T(Transactions!$K$19),Pivot!$A$3,"Customer",C21)</f>
        <v>144284.49218206931</v>
      </c>
      <c r="F21" s="55">
        <f>D21-E21</f>
        <v>11479.590946962824</v>
      </c>
      <c r="G21" s="46">
        <f>+GETPIVOTDATA("Sum of "&amp;T(Transactions!$M$19),Pivot!$A$3,"Customer","AECC")</f>
        <v>821.95553602765972</v>
      </c>
      <c r="H21" s="46">
        <f>GETPIVOTDATA("Sum of "&amp;T(Transactions!$Q$19),Pivot!$A$3,"Customer","AECC")</f>
        <v>0</v>
      </c>
      <c r="I21" s="56">
        <f>F21+G21-H21</f>
        <v>12301.546482990483</v>
      </c>
      <c r="J21" s="53"/>
      <c r="M21" s="46"/>
      <c r="N21" s="46"/>
      <c r="O21" s="46"/>
      <c r="P21" s="46"/>
      <c r="Q21" s="46"/>
    </row>
    <row r="22" spans="2:17" x14ac:dyDescent="0.2">
      <c r="B22" s="53"/>
      <c r="C22" s="57" t="s">
        <v>82</v>
      </c>
      <c r="D22" s="55">
        <f>GETPIVOTDATA("Sum of "&amp;T(Transactions!$J$19),Pivot!$A$3,"Customer",C22)</f>
        <v>7798.8458564506618</v>
      </c>
      <c r="E22" s="55">
        <f>GETPIVOTDATA("Sum of "&amp;T(Transactions!$K$19),Pivot!$A$3,"Customer",C22)</f>
        <v>7224.0820309780966</v>
      </c>
      <c r="F22" s="55">
        <f>D22-E22</f>
        <v>574.76382547256526</v>
      </c>
      <c r="G22" s="46">
        <f>+GETPIVOTDATA("Sum of "&amp;T(Transactions!$M$19),Pivot!$A$3,"Customer","AECI")</f>
        <v>41.153932264511965</v>
      </c>
      <c r="H22" s="46">
        <f>GETPIVOTDATA("Sum of "&amp;T(Transactions!$Q$19),Pivot!$A$3,"Customer",C22)</f>
        <v>0</v>
      </c>
      <c r="I22" s="56">
        <f t="shared" ref="I22:I33" si="0">F22+G22-H22</f>
        <v>615.91775773707718</v>
      </c>
      <c r="J22" s="53"/>
      <c r="M22" s="46"/>
      <c r="N22" s="46"/>
      <c r="O22" s="46"/>
      <c r="P22" s="46"/>
      <c r="Q22" s="46"/>
    </row>
    <row r="23" spans="2:17" x14ac:dyDescent="0.2">
      <c r="B23" s="53"/>
      <c r="C23" s="57" t="s">
        <v>53</v>
      </c>
      <c r="D23" s="55">
        <f>GETPIVOTDATA("Sum of "&amp;T(Transactions!$J$19),Pivot!$A$3,"Customer",C23)</f>
        <v>26239.391711956807</v>
      </c>
      <c r="E23" s="55">
        <f>GETPIVOTDATA("Sum of "&amp;T(Transactions!$K$19),Pivot!$A$3,"Customer",C23)</f>
        <v>24305.585936585172</v>
      </c>
      <c r="F23" s="55">
        <f t="shared" ref="F23:F35" si="1">D23-E23</f>
        <v>1933.8057753716348</v>
      </c>
      <c r="G23" s="46">
        <f>+GETPIVOTDATA("Sum of "&amp;T(Transactions!$M$19),Pivot!$A$3,"Customer","Bentonville, AR")</f>
        <v>138.46332765798761</v>
      </c>
      <c r="H23" s="46">
        <f>GETPIVOTDATA("Sum of "&amp;T(Transactions!$Q$19),Pivot!$A$3,"Customer",C23)</f>
        <v>0</v>
      </c>
      <c r="I23" s="56">
        <f t="shared" si="0"/>
        <v>2072.2691030296223</v>
      </c>
      <c r="J23" s="53"/>
      <c r="M23" s="46"/>
      <c r="N23" s="46"/>
      <c r="O23" s="46"/>
      <c r="P23" s="46"/>
      <c r="Q23" s="46"/>
    </row>
    <row r="24" spans="2:17" x14ac:dyDescent="0.2">
      <c r="B24" s="53"/>
      <c r="C24" s="54" t="s">
        <v>17</v>
      </c>
      <c r="D24" s="55">
        <f>GETPIVOTDATA("Sum of "&amp;T(Transactions!$J$19),Pivot!$A$3,"Customer",C24)</f>
        <v>17710.829284142343</v>
      </c>
      <c r="E24" s="55">
        <f>GETPIVOTDATA("Sum of "&amp;T(Transactions!$K$19),Pivot!$A$3,"Customer",C24)</f>
        <v>16405.566405632519</v>
      </c>
      <c r="F24" s="55">
        <f t="shared" si="1"/>
        <v>1305.2628785098241</v>
      </c>
      <c r="G24" s="46">
        <f>+GETPIVOTDATA("Sum of "&amp;T(Transactions!$M$19),Pivot!$A$3,"Customer","Coffeyville, KS")</f>
        <v>93.458735064632407</v>
      </c>
      <c r="H24" s="46">
        <f>GETPIVOTDATA("Sum of "&amp;T(Transactions!$Q$19),Pivot!$A$3,"Customer",C24)</f>
        <v>0</v>
      </c>
      <c r="I24" s="56">
        <f t="shared" si="0"/>
        <v>1398.7216135744566</v>
      </c>
      <c r="J24" s="53"/>
      <c r="M24" s="46"/>
      <c r="N24" s="46"/>
      <c r="O24" s="46"/>
      <c r="P24" s="46"/>
      <c r="Q24" s="46"/>
    </row>
    <row r="25" spans="2:17" x14ac:dyDescent="0.2">
      <c r="B25" s="53"/>
      <c r="C25" s="57" t="s">
        <v>13</v>
      </c>
      <c r="D25" s="55">
        <f>GETPIVOTDATA("Sum of "&amp;T(Transactions!$J$19),Pivot!$A$3,"Customer",C25)</f>
        <v>168336.49155648769</v>
      </c>
      <c r="E25" s="55">
        <f>GETPIVOTDATA("Sum of "&amp;T(Transactions!$K$19),Pivot!$A$3,"Customer",C25)</f>
        <v>155930.33202538104</v>
      </c>
      <c r="F25" s="55">
        <f t="shared" si="1"/>
        <v>12406.159531106649</v>
      </c>
      <c r="G25" s="46">
        <f>+GETPIVOTDATA("Sum of "&amp;T(Transactions!$M$19),Pivot!$A$3,"Customer","ETEC")</f>
        <v>888.29920461002121</v>
      </c>
      <c r="H25" s="46">
        <f>GETPIVOTDATA("Sum of "&amp;T(Transactions!$Q$19),Pivot!$A$3,"Customer",C25)</f>
        <v>0</v>
      </c>
      <c r="I25" s="56">
        <f t="shared" si="0"/>
        <v>13294.458735716669</v>
      </c>
      <c r="J25" s="53"/>
      <c r="L25" s="1"/>
      <c r="M25" s="46"/>
      <c r="N25" s="46"/>
      <c r="O25" s="46"/>
      <c r="P25" s="46"/>
      <c r="Q25" s="46"/>
    </row>
    <row r="26" spans="2:17" x14ac:dyDescent="0.2">
      <c r="B26" s="53"/>
      <c r="C26" s="54" t="s">
        <v>15</v>
      </c>
      <c r="D26" s="55">
        <f>GETPIVOTDATA("Sum of "&amp;T(Transactions!$J$19),Pivot!$A$3,"Customer",C26)</f>
        <v>1550.6477141480848</v>
      </c>
      <c r="E26" s="55">
        <f>GETPIVOTDATA("Sum of "&amp;T(Transactions!$K$19),Pivot!$A$3,"Customer",C26)</f>
        <v>1436.3671874459369</v>
      </c>
      <c r="F26" s="55">
        <f t="shared" si="1"/>
        <v>114.28052670214788</v>
      </c>
      <c r="G26" s="46">
        <f>+GETPIVOTDATA("Sum of "&amp;T(Transactions!$M$19),Pivot!$A$3,"Customer","Greenbelt")</f>
        <v>8.1826531987918525</v>
      </c>
      <c r="H26" s="46">
        <f>GETPIVOTDATA("Sum of "&amp;T(Transactions!$Q$19),Pivot!$A$3,"Customer",C26)</f>
        <v>0</v>
      </c>
      <c r="I26" s="56">
        <f t="shared" si="0"/>
        <v>122.46317990093974</v>
      </c>
      <c r="J26" s="53"/>
      <c r="K26" s="58"/>
      <c r="L26" s="58"/>
      <c r="M26" s="58"/>
      <c r="N26" s="58"/>
      <c r="O26" s="46"/>
      <c r="P26" s="46"/>
      <c r="Q26" s="46"/>
    </row>
    <row r="27" spans="2:17" x14ac:dyDescent="0.2">
      <c r="B27" s="53"/>
      <c r="C27" s="54" t="s">
        <v>56</v>
      </c>
      <c r="D27" s="55">
        <f>GETPIVOTDATA("Sum of "&amp;T(Transactions!$J$19),Pivot!$A$3,"Customer",C27)</f>
        <v>7342.7729993482844</v>
      </c>
      <c r="E27" s="55">
        <f>GETPIVOTDATA("Sum of "&amp;T(Transactions!$K$19),Pivot!$A$3,"Customer",C27)</f>
        <v>6801.6210934939963</v>
      </c>
      <c r="F27" s="55">
        <f t="shared" si="1"/>
        <v>541.15190585428809</v>
      </c>
      <c r="G27" s="46">
        <f>+GETPIVOTDATA("Sum of "&amp;T(Transactions!$M$19),Pivot!$A$3,"Customer","Hope, AR")</f>
        <v>38.747269558984939</v>
      </c>
      <c r="H27" s="46">
        <f>GETPIVOTDATA("Sum of "&amp;T(Transactions!$Q$19),Pivot!$A$3,"Customer",C27)</f>
        <v>0</v>
      </c>
      <c r="I27" s="56">
        <f t="shared" si="0"/>
        <v>579.89917541327304</v>
      </c>
      <c r="J27" s="53"/>
      <c r="K27" s="58"/>
      <c r="L27" s="58"/>
      <c r="M27" s="58"/>
      <c r="N27" s="58"/>
      <c r="O27" s="46"/>
      <c r="P27" s="46"/>
      <c r="Q27" s="46"/>
    </row>
    <row r="28" spans="2:17" x14ac:dyDescent="0.2">
      <c r="B28" s="53"/>
      <c r="C28" s="54" t="s">
        <v>16</v>
      </c>
      <c r="D28" s="55">
        <f>GETPIVOTDATA("Sum of "&amp;T(Transactions!$J$19),Pivot!$A$3,"Customer",C28)</f>
        <v>501.68014281261577</v>
      </c>
      <c r="E28" s="55">
        <f>GETPIVOTDATA("Sum of "&amp;T(Transactions!$K$19),Pivot!$A$3,"Customer",C28)</f>
        <v>464.70703123250905</v>
      </c>
      <c r="F28" s="55">
        <f t="shared" si="1"/>
        <v>36.973111580106718</v>
      </c>
      <c r="G28" s="46">
        <f>+GETPIVOTDATA("Sum of "&amp;T(Transactions!$M$19),Pivot!$A$3,"Customer","Lighthouse")</f>
        <v>2.6473289760797165</v>
      </c>
      <c r="H28" s="46">
        <f>GETPIVOTDATA("Sum of "&amp;T(Transactions!$Q$19),Pivot!$A$3,"Customer",C28)</f>
        <v>0</v>
      </c>
      <c r="I28" s="56">
        <f t="shared" si="0"/>
        <v>39.620440556186438</v>
      </c>
      <c r="J28" s="53"/>
      <c r="M28" s="46"/>
      <c r="N28" s="46"/>
      <c r="O28" s="46"/>
      <c r="P28" s="46"/>
      <c r="Q28" s="46"/>
    </row>
    <row r="29" spans="2:17" x14ac:dyDescent="0.2">
      <c r="B29" s="53"/>
      <c r="C29" s="57" t="s">
        <v>55</v>
      </c>
      <c r="D29" s="55">
        <f>GETPIVOTDATA("Sum of "&amp;T(Transactions!$J$19),Pivot!$A$3,"Customer",C29)</f>
        <v>0</v>
      </c>
      <c r="E29" s="55">
        <f>GETPIVOTDATA("Sum of "&amp;T(Transactions!$K$19),Pivot!$A$3,"Customer",C29)</f>
        <v>0</v>
      </c>
      <c r="F29" s="55">
        <f t="shared" si="1"/>
        <v>0</v>
      </c>
      <c r="G29" s="46">
        <f>+GETPIVOTDATA("Sum of "&amp;T(Transactions!$M$19),Pivot!$A$3,"Customer","Minden, LA")</f>
        <v>0</v>
      </c>
      <c r="H29" s="46">
        <f>GETPIVOTDATA("Sum of "&amp;T(Transactions!$Q$19),Pivot!$A$3,"Customer",C29)</f>
        <v>0</v>
      </c>
      <c r="I29" s="56">
        <f t="shared" si="0"/>
        <v>0</v>
      </c>
      <c r="J29" s="53"/>
      <c r="M29" s="46"/>
      <c r="N29" s="46"/>
      <c r="O29" s="46"/>
      <c r="P29" s="46"/>
      <c r="Q29" s="46"/>
    </row>
    <row r="30" spans="2:17" x14ac:dyDescent="0.2">
      <c r="B30" s="53"/>
      <c r="C30" s="57" t="s">
        <v>19</v>
      </c>
      <c r="D30" s="55">
        <f>GETPIVOTDATA("Sum of "&amp;T(Transactions!$J$19),Pivot!$A$3,"Customer",C30)</f>
        <v>11341.011713279131</v>
      </c>
      <c r="E30" s="55">
        <f>GETPIVOTDATA("Sum of "&amp;T(Transactions!$K$19),Pivot!$A$3,"Customer",C30)</f>
        <v>10505.195312104599</v>
      </c>
      <c r="F30" s="55">
        <f t="shared" si="1"/>
        <v>835.81640117453207</v>
      </c>
      <c r="G30" s="46">
        <f>+GETPIVOTDATA("Sum of "&amp;T(Transactions!$M$19),Pivot!$A$3,"Customer","OG&amp;E")</f>
        <v>59.845679277438435</v>
      </c>
      <c r="H30" s="46">
        <f>GETPIVOTDATA("Sum of "&amp;T(Transactions!$Q$19),Pivot!$A$3,"Customer",C30)</f>
        <v>0</v>
      </c>
      <c r="I30" s="56">
        <f t="shared" si="0"/>
        <v>895.6620804519705</v>
      </c>
      <c r="J30" s="53"/>
    </row>
    <row r="31" spans="2:17" x14ac:dyDescent="0.2">
      <c r="B31" s="53"/>
      <c r="C31" s="54" t="s">
        <v>8</v>
      </c>
      <c r="D31" s="55">
        <f>GETPIVOTDATA("Sum of "&amp;T(Transactions!$J$19),Pivot!$A$3,"Customer",C31)</f>
        <v>18866.21385546837</v>
      </c>
      <c r="E31" s="55">
        <f>GETPIVOTDATA("Sum of "&amp;T(Transactions!$K$19),Pivot!$A$3,"Customer",C31)</f>
        <v>17475.800780592235</v>
      </c>
      <c r="F31" s="55">
        <f t="shared" si="1"/>
        <v>1390.4130748761345</v>
      </c>
      <c r="G31" s="46">
        <f>+GETPIVOTDATA("Sum of "&amp;T(Transactions!$M$19),Pivot!$A$3,"Customer","OMPA")</f>
        <v>99.55561391863418</v>
      </c>
      <c r="H31" s="46">
        <f>GETPIVOTDATA("Sum of "&amp;T(Transactions!$Q$19),Pivot!$A$3,"Customer",C31)</f>
        <v>0</v>
      </c>
      <c r="I31" s="56">
        <f t="shared" si="0"/>
        <v>1489.9686887947687</v>
      </c>
      <c r="J31" s="53"/>
    </row>
    <row r="32" spans="2:17" x14ac:dyDescent="0.2">
      <c r="B32" s="53"/>
      <c r="C32" s="54" t="s">
        <v>54</v>
      </c>
      <c r="D32" s="55">
        <f>GETPIVOTDATA("Sum of "&amp;T(Transactions!$J$19),Pivot!$A$3,"Customer",C32)</f>
        <v>1930.7084284000662</v>
      </c>
      <c r="E32" s="55">
        <f>GETPIVOTDATA("Sum of "&amp;T(Transactions!$K$19),Pivot!$A$3,"Customer",C32)</f>
        <v>1788.4179686826863</v>
      </c>
      <c r="F32" s="55">
        <f t="shared" si="1"/>
        <v>142.29045971737992</v>
      </c>
      <c r="G32" s="46">
        <f>+GETPIVOTDATA("Sum of "&amp;T(Transactions!$M$19),Pivot!$A$3,"Customer","Prescott, AR")</f>
        <v>10.188205453397694</v>
      </c>
      <c r="H32" s="46">
        <f>GETPIVOTDATA("Sum of "&amp;T(Transactions!$Q$19),Pivot!$A$3,"Customer",C32)</f>
        <v>0</v>
      </c>
      <c r="I32" s="56">
        <f t="shared" si="0"/>
        <v>152.47866517077762</v>
      </c>
      <c r="J32" s="53"/>
    </row>
    <row r="33" spans="2:11" x14ac:dyDescent="0.2">
      <c r="B33" s="53"/>
      <c r="C33" s="59" t="s">
        <v>9</v>
      </c>
      <c r="D33" s="55">
        <f>GETPIVOTDATA("Sum of "&amp;T(Transactions!$J$19),Pivot!$A$3,"Customer",C33)</f>
        <v>9851.1737134113628</v>
      </c>
      <c r="E33" s="55">
        <f>GETPIVOTDATA("Sum of "&amp;T(Transactions!$K$19),Pivot!$A$3,"Customer",C33)</f>
        <v>9125.1562496565421</v>
      </c>
      <c r="F33" s="55">
        <f t="shared" si="1"/>
        <v>726.01746375482071</v>
      </c>
      <c r="G33" s="46">
        <f>+GETPIVOTDATA("Sum of "&amp;T(Transactions!$M$19),Pivot!$A$3,"Customer","WFEC")</f>
        <v>51.983914439383533</v>
      </c>
      <c r="H33" s="46">
        <f>GETPIVOTDATA("Sum of "&amp;T(Transactions!$Q$19),Pivot!$A$3,"Customer",C33)</f>
        <v>0</v>
      </c>
      <c r="I33" s="56">
        <f t="shared" si="0"/>
        <v>778.00137819420422</v>
      </c>
      <c r="J33" s="53"/>
    </row>
    <row r="34" spans="2:11" ht="24" x14ac:dyDescent="0.2">
      <c r="C34" s="60" t="s">
        <v>42</v>
      </c>
      <c r="D34" s="61">
        <f t="shared" ref="D34:I34" si="2">SUM(D21:D33)</f>
        <v>427233.85010493756</v>
      </c>
      <c r="E34" s="61">
        <f t="shared" si="2"/>
        <v>395747.32420385466</v>
      </c>
      <c r="F34" s="61">
        <f t="shared" si="2"/>
        <v>31486.525901082903</v>
      </c>
      <c r="G34" s="62">
        <f t="shared" si="2"/>
        <v>2254.4814004475234</v>
      </c>
      <c r="H34" s="62">
        <f t="shared" si="2"/>
        <v>0</v>
      </c>
      <c r="I34" s="63">
        <f t="shared" si="2"/>
        <v>33741.00730153043</v>
      </c>
    </row>
    <row r="35" spans="2:11" x14ac:dyDescent="0.2">
      <c r="C35" s="64" t="s">
        <v>21</v>
      </c>
      <c r="D35" s="55">
        <f>GETPIVOTDATA("Sum of "&amp;T(Transactions!$J$19),Pivot!$A$3,"Customer",C35)</f>
        <v>591222.44709038257</v>
      </c>
      <c r="E35" s="55">
        <f>GETPIVOTDATA("Sum of "&amp;T(Transactions!$K$19),Pivot!$A$3,"Customer",C35)</f>
        <v>547650.19529188727</v>
      </c>
      <c r="F35" s="55">
        <f t="shared" si="1"/>
        <v>43572.251798495301</v>
      </c>
      <c r="G35" s="46">
        <f>+GETPIVOTDATA("Sum of "&amp;T(Transactions!$M$19),Pivot!$A$3,"Customer","PSO")</f>
        <v>3119.8370872648538</v>
      </c>
      <c r="H35" s="46">
        <f>GETPIVOTDATA("Sum of "&amp;T(Transactions!$Q$19),Pivot!$A$3,"Customer",C35)</f>
        <v>0</v>
      </c>
      <c r="I35" s="56">
        <f>F35+G35-H35</f>
        <v>46692.088885760153</v>
      </c>
    </row>
    <row r="36" spans="2:11" x14ac:dyDescent="0.2">
      <c r="C36" s="65" t="s">
        <v>22</v>
      </c>
      <c r="D36" s="55">
        <f>GETPIVOTDATA("Sum of "&amp;T(Transactions!$J$19),Pivot!$A$3,"Customer",C36)</f>
        <v>565150.28209269664</v>
      </c>
      <c r="E36" s="55">
        <f>GETPIVOTDATA("Sum of "&amp;T(Transactions!$K$19),Pivot!$A$3,"Customer",C36)</f>
        <v>523499.5116990463</v>
      </c>
      <c r="F36" s="55">
        <f>D36-E36</f>
        <v>41650.770393650339</v>
      </c>
      <c r="G36" s="46">
        <f>+GETPIVOTDATA("Sum of "&amp;T(Transactions!$M$19),Pivot!$A$3,"Customer","SWEPCO")</f>
        <v>2982.2562025988932</v>
      </c>
      <c r="H36" s="46">
        <f>GETPIVOTDATA("Sum of "&amp;T(Transactions!$Q$19),Pivot!$A$3,"Customer",C36)</f>
        <v>0</v>
      </c>
      <c r="I36" s="56">
        <f>F36+G36-H36</f>
        <v>44633.026596249234</v>
      </c>
    </row>
    <row r="37" spans="2:11" x14ac:dyDescent="0.2">
      <c r="C37" s="66" t="s">
        <v>80</v>
      </c>
      <c r="D37" s="55">
        <f>GETPIVOTDATA("Sum of "&amp;T(Transactions!$J$19),Pivot!$A$3,"Customer",C37)</f>
        <v>25920.140711985143</v>
      </c>
      <c r="E37" s="55">
        <f>GETPIVOTDATA("Sum of "&amp;T(Transactions!$K$19),Pivot!$A$3,"Customer",C37)</f>
        <v>24009.863280346308</v>
      </c>
      <c r="F37" s="55">
        <f>D37-E37</f>
        <v>1910.277431638835</v>
      </c>
      <c r="G37" s="46">
        <f>+GETPIVOTDATA("Sum of "&amp;T(Transactions!$M$19),Pivot!$A$3,"Customer","SWEPCO-Valley")</f>
        <v>136.77866376411868</v>
      </c>
      <c r="H37" s="46">
        <f>GETPIVOTDATA("Sum of "&amp;T(Transactions!$Q$19),Pivot!$A$3,"Customer",C37)</f>
        <v>0</v>
      </c>
      <c r="I37" s="56">
        <f>F37+G37-H37</f>
        <v>2047.0560954029536</v>
      </c>
    </row>
    <row r="38" spans="2:11" ht="24" x14ac:dyDescent="0.2">
      <c r="C38" s="67" t="s">
        <v>50</v>
      </c>
      <c r="D38" s="68">
        <f t="shared" ref="D38:I38" si="3">SUM(D35:D37)</f>
        <v>1182292.8698950643</v>
      </c>
      <c r="E38" s="68">
        <f t="shared" si="3"/>
        <v>1095159.5702712799</v>
      </c>
      <c r="F38" s="68">
        <f t="shared" si="3"/>
        <v>87133.299623784478</v>
      </c>
      <c r="G38" s="69">
        <f t="shared" si="3"/>
        <v>6238.8719536278659</v>
      </c>
      <c r="H38" s="69">
        <f t="shared" si="3"/>
        <v>0</v>
      </c>
      <c r="I38" s="70">
        <f t="shared" si="3"/>
        <v>93372.171577412344</v>
      </c>
      <c r="K38" s="71"/>
    </row>
    <row r="39" spans="2:11" ht="23.25" customHeight="1" thickBot="1" x14ac:dyDescent="0.25">
      <c r="C39" s="72" t="s">
        <v>43</v>
      </c>
      <c r="D39" s="73">
        <f t="shared" ref="D39:I39" si="4">SUM(D34,D38)</f>
        <v>1609526.7200000018</v>
      </c>
      <c r="E39" s="74">
        <f t="shared" si="4"/>
        <v>1490906.8944751346</v>
      </c>
      <c r="F39" s="73">
        <f t="shared" si="4"/>
        <v>118619.82552486738</v>
      </c>
      <c r="G39" s="74">
        <f t="shared" si="4"/>
        <v>8493.3533540753888</v>
      </c>
      <c r="H39" s="74">
        <f t="shared" si="4"/>
        <v>0</v>
      </c>
      <c r="I39" s="75">
        <f t="shared" si="4"/>
        <v>127113.17887894277</v>
      </c>
      <c r="K39" s="71"/>
    </row>
    <row r="41" spans="2:11" x14ac:dyDescent="0.2">
      <c r="I41" s="189"/>
    </row>
  </sheetData>
  <mergeCells count="4">
    <mergeCell ref="C1:I1"/>
    <mergeCell ref="C2:I2"/>
    <mergeCell ref="C3:I3"/>
    <mergeCell ref="C4:I4"/>
  </mergeCells>
  <phoneticPr fontId="6" type="noConversion"/>
  <printOptions horizontalCentered="1"/>
  <pageMargins left="0.5" right="0.75" top="0.9" bottom="0.53" header="0.5" footer="0.5"/>
  <pageSetup scale="8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123"/>
  <sheetViews>
    <sheetView zoomScale="85" zoomScaleNormal="85" workbookViewId="0">
      <pane xSplit="2" ySplit="4" topLeftCell="F35" activePane="bottomRight" state="frozen"/>
      <selection pane="topRight" activeCell="C1" sqref="C1"/>
      <selection pane="bottomLeft" activeCell="A5" sqref="A5"/>
      <selection pane="bottomRight" activeCell="H55" sqref="H55"/>
    </sheetView>
  </sheetViews>
  <sheetFormatPr defaultColWidth="8.7109375" defaultRowHeight="12.75" x14ac:dyDescent="0.2"/>
  <cols>
    <col min="1" max="1" width="19.140625" customWidth="1"/>
    <col min="2" max="2" width="28.5703125" bestFit="1" customWidth="1"/>
    <col min="3" max="14" width="15.42578125" bestFit="1" customWidth="1"/>
    <col min="15" max="15" width="14.5703125" customWidth="1"/>
  </cols>
  <sheetData>
    <row r="3" spans="1:15" x14ac:dyDescent="0.2">
      <c r="A3" s="192"/>
      <c r="B3" s="193"/>
      <c r="C3" s="194" t="s">
        <v>52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5"/>
    </row>
    <row r="4" spans="1:15" x14ac:dyDescent="0.2">
      <c r="A4" s="194" t="s">
        <v>0</v>
      </c>
      <c r="B4" s="194" t="s">
        <v>24</v>
      </c>
      <c r="C4" s="196">
        <v>45658</v>
      </c>
      <c r="D4" s="197">
        <v>45689</v>
      </c>
      <c r="E4" s="197">
        <v>45717</v>
      </c>
      <c r="F4" s="197">
        <v>45748</v>
      </c>
      <c r="G4" s="197">
        <v>45778</v>
      </c>
      <c r="H4" s="197">
        <v>45809</v>
      </c>
      <c r="I4" s="197">
        <v>45839</v>
      </c>
      <c r="J4" s="197">
        <v>45870</v>
      </c>
      <c r="K4" s="197">
        <v>45901</v>
      </c>
      <c r="L4" s="197">
        <v>45931</v>
      </c>
      <c r="M4" s="197">
        <v>45962</v>
      </c>
      <c r="N4" s="197">
        <v>45992</v>
      </c>
      <c r="O4" s="198" t="s">
        <v>18</v>
      </c>
    </row>
    <row r="5" spans="1:15" x14ac:dyDescent="0.2">
      <c r="A5" s="192" t="s">
        <v>14</v>
      </c>
      <c r="B5" s="192" t="s">
        <v>69</v>
      </c>
      <c r="C5" s="199">
        <v>14685.545998696569</v>
      </c>
      <c r="D5" s="200">
        <v>16753.076284227347</v>
      </c>
      <c r="E5" s="200">
        <v>10869.736427606673</v>
      </c>
      <c r="F5" s="200">
        <v>8832.6109992160527</v>
      </c>
      <c r="G5" s="200">
        <v>11873.096713231904</v>
      </c>
      <c r="H5" s="200">
        <v>13621.37599879102</v>
      </c>
      <c r="I5" s="200">
        <v>15628.096570041482</v>
      </c>
      <c r="J5" s="200">
        <v>16038.562141433622</v>
      </c>
      <c r="K5" s="200">
        <v>12389.979284614599</v>
      </c>
      <c r="L5" s="200">
        <v>11219.392284718497</v>
      </c>
      <c r="M5" s="200">
        <v>10732.914570475959</v>
      </c>
      <c r="N5" s="200">
        <v>13119.695855978403</v>
      </c>
      <c r="O5" s="201">
        <v>155764.08312903214</v>
      </c>
    </row>
    <row r="6" spans="1:15" x14ac:dyDescent="0.2">
      <c r="A6" s="202"/>
      <c r="B6" s="203" t="s">
        <v>25</v>
      </c>
      <c r="C6" s="204">
        <v>1082.3038117085762</v>
      </c>
      <c r="D6" s="205">
        <v>1234.6778473114373</v>
      </c>
      <c r="E6" s="205">
        <v>801.08408423564288</v>
      </c>
      <c r="F6" s="205">
        <v>650.95084327399854</v>
      </c>
      <c r="G6" s="205">
        <v>875.03030739585483</v>
      </c>
      <c r="H6" s="205">
        <v>1003.8759992659252</v>
      </c>
      <c r="I6" s="205">
        <v>1151.7684455863509</v>
      </c>
      <c r="J6" s="205">
        <v>1182.0191732428011</v>
      </c>
      <c r="K6" s="205">
        <v>913.12381629657102</v>
      </c>
      <c r="L6" s="205">
        <v>826.85322260965768</v>
      </c>
      <c r="M6" s="205">
        <v>791.00050835015827</v>
      </c>
      <c r="N6" s="205">
        <v>966.9028876858174</v>
      </c>
      <c r="O6" s="206">
        <v>11479.590946962791</v>
      </c>
    </row>
    <row r="7" spans="1:15" x14ac:dyDescent="0.2">
      <c r="A7" s="202"/>
      <c r="B7" s="203" t="s">
        <v>26</v>
      </c>
      <c r="C7" s="204">
        <v>77.494539117969893</v>
      </c>
      <c r="D7" s="205">
        <v>88.404743383025675</v>
      </c>
      <c r="E7" s="205">
        <v>57.358794481727188</v>
      </c>
      <c r="F7" s="205">
        <v>46.609034397039856</v>
      </c>
      <c r="G7" s="205">
        <v>62.653452433886628</v>
      </c>
      <c r="H7" s="205">
        <v>71.878992805073509</v>
      </c>
      <c r="I7" s="205">
        <v>82.468308709392389</v>
      </c>
      <c r="J7" s="205">
        <v>84.634305144366706</v>
      </c>
      <c r="K7" s="205">
        <v>65.38100350015057</v>
      </c>
      <c r="L7" s="205">
        <v>59.203902555964568</v>
      </c>
      <c r="M7" s="205">
        <v>56.636795670069091</v>
      </c>
      <c r="N7" s="205">
        <v>69.231663828993788</v>
      </c>
      <c r="O7" s="206">
        <v>821.95553602765972</v>
      </c>
    </row>
    <row r="8" spans="1:15" x14ac:dyDescent="0.2">
      <c r="A8" s="202"/>
      <c r="B8" s="203" t="s">
        <v>27</v>
      </c>
      <c r="C8" s="204">
        <v>1159.7983508265461</v>
      </c>
      <c r="D8" s="205">
        <v>1323.0825906944629</v>
      </c>
      <c r="E8" s="205">
        <v>858.44287871737004</v>
      </c>
      <c r="F8" s="205">
        <v>697.55987767103841</v>
      </c>
      <c r="G8" s="205">
        <v>937.68375982974146</v>
      </c>
      <c r="H8" s="205">
        <v>1075.7549920709987</v>
      </c>
      <c r="I8" s="205">
        <v>1234.2367542957434</v>
      </c>
      <c r="J8" s="205">
        <v>1266.6534783871678</v>
      </c>
      <c r="K8" s="205">
        <v>978.50481979672156</v>
      </c>
      <c r="L8" s="205">
        <v>886.05712516562221</v>
      </c>
      <c r="M8" s="205">
        <v>847.63730402022736</v>
      </c>
      <c r="N8" s="205">
        <v>1036.1345515148112</v>
      </c>
      <c r="O8" s="206">
        <v>12301.54648299045</v>
      </c>
    </row>
    <row r="9" spans="1:15" x14ac:dyDescent="0.2">
      <c r="A9" s="202"/>
      <c r="B9" s="203" t="s">
        <v>48</v>
      </c>
      <c r="C9" s="207">
        <v>13603.242186987993</v>
      </c>
      <c r="D9" s="208">
        <v>15518.39843691591</v>
      </c>
      <c r="E9" s="208">
        <v>10068.65234337103</v>
      </c>
      <c r="F9" s="208">
        <v>8181.6601559420542</v>
      </c>
      <c r="G9" s="208">
        <v>10998.066405836049</v>
      </c>
      <c r="H9" s="208">
        <v>12617.499999525095</v>
      </c>
      <c r="I9" s="208">
        <v>14476.328124455131</v>
      </c>
      <c r="J9" s="208">
        <v>14856.542968190821</v>
      </c>
      <c r="K9" s="208">
        <v>11476.855468318028</v>
      </c>
      <c r="L9" s="208">
        <v>10392.539062108839</v>
      </c>
      <c r="M9" s="208">
        <v>9941.9140621258011</v>
      </c>
      <c r="N9" s="208">
        <v>12152.792968292586</v>
      </c>
      <c r="O9" s="209">
        <v>144284.49218206931</v>
      </c>
    </row>
    <row r="10" spans="1:15" x14ac:dyDescent="0.2">
      <c r="A10" s="202"/>
      <c r="B10" s="203" t="s">
        <v>86</v>
      </c>
      <c r="C10" s="207">
        <v>0</v>
      </c>
      <c r="D10" s="208">
        <v>0</v>
      </c>
      <c r="E10" s="208">
        <v>0</v>
      </c>
      <c r="F10" s="208">
        <v>0</v>
      </c>
      <c r="G10" s="208">
        <v>0</v>
      </c>
      <c r="H10" s="208">
        <v>0</v>
      </c>
      <c r="I10" s="208">
        <v>0</v>
      </c>
      <c r="J10" s="208">
        <v>0</v>
      </c>
      <c r="K10" s="208">
        <v>0</v>
      </c>
      <c r="L10" s="208">
        <v>0</v>
      </c>
      <c r="M10" s="208">
        <v>0</v>
      </c>
      <c r="N10" s="208">
        <v>0</v>
      </c>
      <c r="O10" s="209">
        <v>0</v>
      </c>
    </row>
    <row r="11" spans="1:15" x14ac:dyDescent="0.2">
      <c r="A11" s="202"/>
      <c r="B11" s="203" t="s">
        <v>88</v>
      </c>
      <c r="C11" s="207">
        <v>0</v>
      </c>
      <c r="D11" s="208">
        <v>0</v>
      </c>
      <c r="E11" s="208">
        <v>0</v>
      </c>
      <c r="F11" s="208">
        <v>0</v>
      </c>
      <c r="G11" s="208">
        <v>0</v>
      </c>
      <c r="H11" s="208">
        <v>0</v>
      </c>
      <c r="I11" s="208">
        <v>0</v>
      </c>
      <c r="J11" s="208">
        <v>0</v>
      </c>
      <c r="K11" s="208">
        <v>0</v>
      </c>
      <c r="L11" s="208">
        <v>0</v>
      </c>
      <c r="M11" s="208">
        <v>0</v>
      </c>
      <c r="N11" s="208">
        <v>0</v>
      </c>
      <c r="O11" s="209">
        <v>0</v>
      </c>
    </row>
    <row r="12" spans="1:15" x14ac:dyDescent="0.2">
      <c r="A12" s="192" t="s">
        <v>17</v>
      </c>
      <c r="B12" s="192" t="s">
        <v>69</v>
      </c>
      <c r="C12" s="199">
        <v>1611.457428428402</v>
      </c>
      <c r="D12" s="200">
        <v>1550.6477141480848</v>
      </c>
      <c r="E12" s="200">
        <v>1520.2428570079264</v>
      </c>
      <c r="F12" s="200">
        <v>912.14571420475579</v>
      </c>
      <c r="G12" s="200">
        <v>1459.4331427276093</v>
      </c>
      <c r="H12" s="200">
        <v>1809.0889998394323</v>
      </c>
      <c r="I12" s="200">
        <v>1793.886571269353</v>
      </c>
      <c r="J12" s="200">
        <v>1809.0889998394323</v>
      </c>
      <c r="K12" s="200">
        <v>1535.4452855780055</v>
      </c>
      <c r="L12" s="200">
        <v>1611.457428428402</v>
      </c>
      <c r="M12" s="200">
        <v>532.08499995277418</v>
      </c>
      <c r="N12" s="200">
        <v>1565.8501427181641</v>
      </c>
      <c r="O12" s="201">
        <v>17710.829284142343</v>
      </c>
    </row>
    <row r="13" spans="1:15" x14ac:dyDescent="0.2">
      <c r="A13" s="202"/>
      <c r="B13" s="203" t="s">
        <v>25</v>
      </c>
      <c r="C13" s="204">
        <v>118.76211598458485</v>
      </c>
      <c r="D13" s="205">
        <v>114.28052670214765</v>
      </c>
      <c r="E13" s="205">
        <v>112.03973206092928</v>
      </c>
      <c r="F13" s="205">
        <v>67.22383923655741</v>
      </c>
      <c r="G13" s="205">
        <v>107.55814277849186</v>
      </c>
      <c r="H13" s="205">
        <v>133.32728115250552</v>
      </c>
      <c r="I13" s="205">
        <v>132.20688383189622</v>
      </c>
      <c r="J13" s="205">
        <v>133.32728115250552</v>
      </c>
      <c r="K13" s="205">
        <v>113.16012938153835</v>
      </c>
      <c r="L13" s="205">
        <v>118.76211598458485</v>
      </c>
      <c r="M13" s="205">
        <v>39.213906221325146</v>
      </c>
      <c r="N13" s="205">
        <v>115.40092402275695</v>
      </c>
      <c r="O13" s="206">
        <v>1305.2628785098236</v>
      </c>
    </row>
    <row r="14" spans="1:15" x14ac:dyDescent="0.2">
      <c r="A14" s="202"/>
      <c r="B14" s="203" t="s">
        <v>26</v>
      </c>
      <c r="C14" s="204">
        <v>8.5035415595287862</v>
      </c>
      <c r="D14" s="205">
        <v>8.1826531987918507</v>
      </c>
      <c r="E14" s="205">
        <v>8.0222090184233839</v>
      </c>
      <c r="F14" s="205">
        <v>4.8133254110540298</v>
      </c>
      <c r="G14" s="205">
        <v>7.7013206576864484</v>
      </c>
      <c r="H14" s="205">
        <v>9.5464287319238252</v>
      </c>
      <c r="I14" s="205">
        <v>9.4662066417395927</v>
      </c>
      <c r="J14" s="205">
        <v>9.5464287319238252</v>
      </c>
      <c r="K14" s="205">
        <v>8.1024311086076164</v>
      </c>
      <c r="L14" s="205">
        <v>8.5035415595287862</v>
      </c>
      <c r="M14" s="205">
        <v>2.8077731564481843</v>
      </c>
      <c r="N14" s="205">
        <v>8.262875288976085</v>
      </c>
      <c r="O14" s="206">
        <v>93.458735064632407</v>
      </c>
    </row>
    <row r="15" spans="1:15" x14ac:dyDescent="0.2">
      <c r="A15" s="202"/>
      <c r="B15" s="203" t="s">
        <v>27</v>
      </c>
      <c r="C15" s="204">
        <v>127.26565754411364</v>
      </c>
      <c r="D15" s="205">
        <v>122.46317990093951</v>
      </c>
      <c r="E15" s="205">
        <v>120.06194107935266</v>
      </c>
      <c r="F15" s="205">
        <v>72.037164647611434</v>
      </c>
      <c r="G15" s="205">
        <v>115.25946343617831</v>
      </c>
      <c r="H15" s="205">
        <v>142.87370988442933</v>
      </c>
      <c r="I15" s="205">
        <v>141.67309047363582</v>
      </c>
      <c r="J15" s="205">
        <v>142.87370988442933</v>
      </c>
      <c r="K15" s="205">
        <v>121.26256049014597</v>
      </c>
      <c r="L15" s="205">
        <v>127.26565754411364</v>
      </c>
      <c r="M15" s="205">
        <v>42.021679377773332</v>
      </c>
      <c r="N15" s="205">
        <v>123.66379931173304</v>
      </c>
      <c r="O15" s="206">
        <v>1398.7216135744561</v>
      </c>
    </row>
    <row r="16" spans="1:15" x14ac:dyDescent="0.2">
      <c r="A16" s="202"/>
      <c r="B16" s="203" t="s">
        <v>48</v>
      </c>
      <c r="C16" s="207">
        <v>1492.6953124438171</v>
      </c>
      <c r="D16" s="208">
        <v>1436.3671874459371</v>
      </c>
      <c r="E16" s="208">
        <v>1408.2031249469971</v>
      </c>
      <c r="F16" s="208">
        <v>844.92187496819838</v>
      </c>
      <c r="G16" s="208">
        <v>1351.8749999491174</v>
      </c>
      <c r="H16" s="208">
        <v>1675.7617186869268</v>
      </c>
      <c r="I16" s="208">
        <v>1661.6796874374568</v>
      </c>
      <c r="J16" s="208">
        <v>1675.7617186869268</v>
      </c>
      <c r="K16" s="208">
        <v>1422.2851561964671</v>
      </c>
      <c r="L16" s="208">
        <v>1492.6953124438171</v>
      </c>
      <c r="M16" s="208">
        <v>492.87109373144904</v>
      </c>
      <c r="N16" s="208">
        <v>1450.4492186954071</v>
      </c>
      <c r="O16" s="209">
        <v>16405.566405632519</v>
      </c>
    </row>
    <row r="17" spans="1:15" x14ac:dyDescent="0.2">
      <c r="A17" s="202"/>
      <c r="B17" s="203" t="s">
        <v>86</v>
      </c>
      <c r="C17" s="207">
        <v>0</v>
      </c>
      <c r="D17" s="208">
        <v>0</v>
      </c>
      <c r="E17" s="208">
        <v>0</v>
      </c>
      <c r="F17" s="208">
        <v>0</v>
      </c>
      <c r="G17" s="208">
        <v>0</v>
      </c>
      <c r="H17" s="208">
        <v>0</v>
      </c>
      <c r="I17" s="208">
        <v>0</v>
      </c>
      <c r="J17" s="208">
        <v>0</v>
      </c>
      <c r="K17" s="208">
        <v>0</v>
      </c>
      <c r="L17" s="208">
        <v>0</v>
      </c>
      <c r="M17" s="208">
        <v>0</v>
      </c>
      <c r="N17" s="208">
        <v>0</v>
      </c>
      <c r="O17" s="209">
        <v>0</v>
      </c>
    </row>
    <row r="18" spans="1:15" x14ac:dyDescent="0.2">
      <c r="A18" s="202"/>
      <c r="B18" s="203" t="s">
        <v>88</v>
      </c>
      <c r="C18" s="207">
        <v>0</v>
      </c>
      <c r="D18" s="208">
        <v>0</v>
      </c>
      <c r="E18" s="208">
        <v>0</v>
      </c>
      <c r="F18" s="208">
        <v>0</v>
      </c>
      <c r="G18" s="208">
        <v>0</v>
      </c>
      <c r="H18" s="208">
        <v>0</v>
      </c>
      <c r="I18" s="208">
        <v>0</v>
      </c>
      <c r="J18" s="208">
        <v>0</v>
      </c>
      <c r="K18" s="208">
        <v>0</v>
      </c>
      <c r="L18" s="208">
        <v>0</v>
      </c>
      <c r="M18" s="208">
        <v>0</v>
      </c>
      <c r="N18" s="208">
        <v>0</v>
      </c>
      <c r="O18" s="209">
        <v>0</v>
      </c>
    </row>
    <row r="19" spans="1:15" x14ac:dyDescent="0.2">
      <c r="A19" s="192" t="s">
        <v>13</v>
      </c>
      <c r="B19" s="192" t="s">
        <v>69</v>
      </c>
      <c r="C19" s="199">
        <v>19991.193569654231</v>
      </c>
      <c r="D19" s="200">
        <v>20933.744140999144</v>
      </c>
      <c r="E19" s="200">
        <v>12025.120998932698</v>
      </c>
      <c r="F19" s="200">
        <v>9167.0644277577958</v>
      </c>
      <c r="G19" s="200">
        <v>11219.392284718497</v>
      </c>
      <c r="H19" s="200">
        <v>12906.861855997295</v>
      </c>
      <c r="I19" s="200">
        <v>14867.975141537519</v>
      </c>
      <c r="J19" s="200">
        <v>15202.428570079262</v>
      </c>
      <c r="K19" s="200">
        <v>12830.849713146898</v>
      </c>
      <c r="L19" s="200">
        <v>11553.84571326024</v>
      </c>
      <c r="M19" s="200">
        <v>11371.416570419289</v>
      </c>
      <c r="N19" s="200">
        <v>16266.598569984812</v>
      </c>
      <c r="O19" s="201">
        <v>168336.49155648769</v>
      </c>
    </row>
    <row r="20" spans="1:15" x14ac:dyDescent="0.2">
      <c r="A20" s="202"/>
      <c r="B20" s="203" t="s">
        <v>25</v>
      </c>
      <c r="C20" s="204">
        <v>1473.3224766012172</v>
      </c>
      <c r="D20" s="205">
        <v>1542.787110478992</v>
      </c>
      <c r="E20" s="205">
        <v>886.23428060194965</v>
      </c>
      <c r="F20" s="205">
        <v>675.59958432740314</v>
      </c>
      <c r="G20" s="205">
        <v>826.85322260965768</v>
      </c>
      <c r="H20" s="205">
        <v>951.21732519728721</v>
      </c>
      <c r="I20" s="205">
        <v>1095.748579555886</v>
      </c>
      <c r="J20" s="205">
        <v>1120.3973206092905</v>
      </c>
      <c r="K20" s="205">
        <v>945.61533859424162</v>
      </c>
      <c r="L20" s="205">
        <v>851.50196366306045</v>
      </c>
      <c r="M20" s="205">
        <v>838.05719581575067</v>
      </c>
      <c r="N20" s="205">
        <v>1198.8251330519415</v>
      </c>
      <c r="O20" s="206">
        <v>12406.159531106678</v>
      </c>
    </row>
    <row r="21" spans="1:15" x14ac:dyDescent="0.2">
      <c r="A21" s="202"/>
      <c r="B21" s="203" t="s">
        <v>26</v>
      </c>
      <c r="C21" s="204">
        <v>105.49204859226749</v>
      </c>
      <c r="D21" s="205">
        <v>110.46581818368999</v>
      </c>
      <c r="E21" s="205">
        <v>63.45567333572896</v>
      </c>
      <c r="F21" s="205">
        <v>48.373920381093001</v>
      </c>
      <c r="G21" s="205">
        <v>59.203902555964568</v>
      </c>
      <c r="H21" s="205">
        <v>68.108554566414526</v>
      </c>
      <c r="I21" s="205">
        <v>78.457204200180698</v>
      </c>
      <c r="J21" s="205">
        <v>80.222090184233835</v>
      </c>
      <c r="K21" s="205">
        <v>67.70744411549336</v>
      </c>
      <c r="L21" s="205">
        <v>60.968788540017712</v>
      </c>
      <c r="M21" s="205">
        <v>60.006123457806908</v>
      </c>
      <c r="N21" s="205">
        <v>85.837636497130205</v>
      </c>
      <c r="O21" s="206">
        <v>888.29920461002121</v>
      </c>
    </row>
    <row r="22" spans="1:15" x14ac:dyDescent="0.2">
      <c r="A22" s="202"/>
      <c r="B22" s="203" t="s">
        <v>27</v>
      </c>
      <c r="C22" s="204">
        <v>1578.8145251934848</v>
      </c>
      <c r="D22" s="205">
        <v>1653.2529286626821</v>
      </c>
      <c r="E22" s="205">
        <v>949.68995393767864</v>
      </c>
      <c r="F22" s="205">
        <v>723.97350470849619</v>
      </c>
      <c r="G22" s="205">
        <v>886.05712516562221</v>
      </c>
      <c r="H22" s="205">
        <v>1019.3258797637018</v>
      </c>
      <c r="I22" s="205">
        <v>1174.2057837560667</v>
      </c>
      <c r="J22" s="205">
        <v>1200.6194107935244</v>
      </c>
      <c r="K22" s="205">
        <v>1013.322782709735</v>
      </c>
      <c r="L22" s="205">
        <v>912.47075220307818</v>
      </c>
      <c r="M22" s="205">
        <v>898.06331927355757</v>
      </c>
      <c r="N22" s="205">
        <v>1284.6627695490718</v>
      </c>
      <c r="O22" s="206">
        <v>13294.458735716698</v>
      </c>
    </row>
    <row r="23" spans="1:15" x14ac:dyDescent="0.2">
      <c r="A23" s="202"/>
      <c r="B23" s="203" t="s">
        <v>48</v>
      </c>
      <c r="C23" s="207">
        <v>18517.871093053014</v>
      </c>
      <c r="D23" s="208">
        <v>19390.957030520152</v>
      </c>
      <c r="E23" s="208">
        <v>11138.886718330748</v>
      </c>
      <c r="F23" s="208">
        <v>8491.4648434303926</v>
      </c>
      <c r="G23" s="208">
        <v>10392.539062108839</v>
      </c>
      <c r="H23" s="208">
        <v>11955.644530800007</v>
      </c>
      <c r="I23" s="208">
        <v>13772.226561981633</v>
      </c>
      <c r="J23" s="208">
        <v>14082.031249469972</v>
      </c>
      <c r="K23" s="208">
        <v>11885.234374552656</v>
      </c>
      <c r="L23" s="208">
        <v>10702.343749597179</v>
      </c>
      <c r="M23" s="208">
        <v>10533.359374603539</v>
      </c>
      <c r="N23" s="208">
        <v>15067.77343693287</v>
      </c>
      <c r="O23" s="209">
        <v>155930.33202538104</v>
      </c>
    </row>
    <row r="24" spans="1:15" x14ac:dyDescent="0.2">
      <c r="A24" s="202"/>
      <c r="B24" s="203" t="s">
        <v>86</v>
      </c>
      <c r="C24" s="207">
        <v>0</v>
      </c>
      <c r="D24" s="208">
        <v>0</v>
      </c>
      <c r="E24" s="208">
        <v>0</v>
      </c>
      <c r="F24" s="208">
        <v>0</v>
      </c>
      <c r="G24" s="208">
        <v>0</v>
      </c>
      <c r="H24" s="208">
        <v>0</v>
      </c>
      <c r="I24" s="208">
        <v>0</v>
      </c>
      <c r="J24" s="208">
        <v>0</v>
      </c>
      <c r="K24" s="208">
        <v>0</v>
      </c>
      <c r="L24" s="208">
        <v>0</v>
      </c>
      <c r="M24" s="208">
        <v>0</v>
      </c>
      <c r="N24" s="208">
        <v>0</v>
      </c>
      <c r="O24" s="209">
        <v>0</v>
      </c>
    </row>
    <row r="25" spans="1:15" x14ac:dyDescent="0.2">
      <c r="A25" s="202"/>
      <c r="B25" s="203" t="s">
        <v>88</v>
      </c>
      <c r="C25" s="207">
        <v>0</v>
      </c>
      <c r="D25" s="208">
        <v>0</v>
      </c>
      <c r="E25" s="208">
        <v>0</v>
      </c>
      <c r="F25" s="208">
        <v>0</v>
      </c>
      <c r="G25" s="208">
        <v>0</v>
      </c>
      <c r="H25" s="208">
        <v>0</v>
      </c>
      <c r="I25" s="208">
        <v>0</v>
      </c>
      <c r="J25" s="208">
        <v>0</v>
      </c>
      <c r="K25" s="208">
        <v>0</v>
      </c>
      <c r="L25" s="208">
        <v>0</v>
      </c>
      <c r="M25" s="208">
        <v>0</v>
      </c>
      <c r="N25" s="208">
        <v>0</v>
      </c>
      <c r="O25" s="209">
        <v>0</v>
      </c>
    </row>
    <row r="26" spans="1:15" x14ac:dyDescent="0.2">
      <c r="A26" s="192" t="s">
        <v>15</v>
      </c>
      <c r="B26" s="192" t="s">
        <v>69</v>
      </c>
      <c r="C26" s="199">
        <v>106.41699999055484</v>
      </c>
      <c r="D26" s="200">
        <v>121.61942856063411</v>
      </c>
      <c r="E26" s="200">
        <v>106.41699999055484</v>
      </c>
      <c r="F26" s="200">
        <v>45.60728571023779</v>
      </c>
      <c r="G26" s="200">
        <v>76.012142850396316</v>
      </c>
      <c r="H26" s="200">
        <v>152.02428570079263</v>
      </c>
      <c r="I26" s="200">
        <v>258.4412856913475</v>
      </c>
      <c r="J26" s="200">
        <v>243.23885712126821</v>
      </c>
      <c r="K26" s="200">
        <v>121.61942856063411</v>
      </c>
      <c r="L26" s="200">
        <v>121.61942856063411</v>
      </c>
      <c r="M26" s="200">
        <v>91.214571420475579</v>
      </c>
      <c r="N26" s="200">
        <v>106.41699999055484</v>
      </c>
      <c r="O26" s="201">
        <v>1550.6477141480848</v>
      </c>
    </row>
    <row r="27" spans="1:15" x14ac:dyDescent="0.2">
      <c r="A27" s="202"/>
      <c r="B27" s="203" t="s">
        <v>25</v>
      </c>
      <c r="C27" s="204">
        <v>7.8427812442650406</v>
      </c>
      <c r="D27" s="205">
        <v>8.9631785648743261</v>
      </c>
      <c r="E27" s="205">
        <v>7.8427812442650406</v>
      </c>
      <c r="F27" s="205">
        <v>3.3611919618278705</v>
      </c>
      <c r="G27" s="205">
        <v>5.6019866030464556</v>
      </c>
      <c r="H27" s="205">
        <v>11.203973206092911</v>
      </c>
      <c r="I27" s="205">
        <v>19.04675445035798</v>
      </c>
      <c r="J27" s="205">
        <v>17.926357129748652</v>
      </c>
      <c r="K27" s="205">
        <v>8.9631785648743261</v>
      </c>
      <c r="L27" s="205">
        <v>8.9631785648743261</v>
      </c>
      <c r="M27" s="205">
        <v>6.722383923655741</v>
      </c>
      <c r="N27" s="205">
        <v>7.8427812442650406</v>
      </c>
      <c r="O27" s="206">
        <v>114.28052670214771</v>
      </c>
    </row>
    <row r="28" spans="1:15" x14ac:dyDescent="0.2">
      <c r="A28" s="202"/>
      <c r="B28" s="203" t="s">
        <v>26</v>
      </c>
      <c r="C28" s="204">
        <v>0.56155463128963679</v>
      </c>
      <c r="D28" s="205">
        <v>0.64177672147387066</v>
      </c>
      <c r="E28" s="205">
        <v>0.56155463128963679</v>
      </c>
      <c r="F28" s="205">
        <v>0.24066627055270151</v>
      </c>
      <c r="G28" s="205">
        <v>0.40111045092116915</v>
      </c>
      <c r="H28" s="205">
        <v>0.8022209018423383</v>
      </c>
      <c r="I28" s="205">
        <v>1.3637755331319752</v>
      </c>
      <c r="J28" s="205">
        <v>1.2835534429477413</v>
      </c>
      <c r="K28" s="205">
        <v>0.64177672147387066</v>
      </c>
      <c r="L28" s="205">
        <v>0.64177672147387066</v>
      </c>
      <c r="M28" s="205">
        <v>0.48133254110540302</v>
      </c>
      <c r="N28" s="205">
        <v>0.56155463128963679</v>
      </c>
      <c r="O28" s="206">
        <v>8.1826531987918525</v>
      </c>
    </row>
    <row r="29" spans="1:15" x14ac:dyDescent="0.2">
      <c r="A29" s="202"/>
      <c r="B29" s="203" t="s">
        <v>27</v>
      </c>
      <c r="C29" s="204">
        <v>8.4043358755546773</v>
      </c>
      <c r="D29" s="205">
        <v>9.6049552863481971</v>
      </c>
      <c r="E29" s="205">
        <v>8.4043358755546773</v>
      </c>
      <c r="F29" s="205">
        <v>3.6018582323805721</v>
      </c>
      <c r="G29" s="205">
        <v>6.0030970539676245</v>
      </c>
      <c r="H29" s="205">
        <v>12.006194107935249</v>
      </c>
      <c r="I29" s="205">
        <v>20.410529983489955</v>
      </c>
      <c r="J29" s="205">
        <v>19.209910572696394</v>
      </c>
      <c r="K29" s="205">
        <v>9.6049552863481971</v>
      </c>
      <c r="L29" s="205">
        <v>9.6049552863481971</v>
      </c>
      <c r="M29" s="205">
        <v>7.2037164647611442</v>
      </c>
      <c r="N29" s="205">
        <v>8.4043358755546773</v>
      </c>
      <c r="O29" s="206">
        <v>122.46317990093956</v>
      </c>
    </row>
    <row r="30" spans="1:15" x14ac:dyDescent="0.2">
      <c r="A30" s="202"/>
      <c r="B30" s="203" t="s">
        <v>48</v>
      </c>
      <c r="C30" s="207">
        <v>98.574218746289802</v>
      </c>
      <c r="D30" s="208">
        <v>112.65624999575978</v>
      </c>
      <c r="E30" s="208">
        <v>98.574218746289802</v>
      </c>
      <c r="F30" s="208">
        <v>42.246093748409919</v>
      </c>
      <c r="G30" s="208">
        <v>70.41015624734986</v>
      </c>
      <c r="H30" s="208">
        <v>140.82031249469972</v>
      </c>
      <c r="I30" s="208">
        <v>239.39453124098952</v>
      </c>
      <c r="J30" s="208">
        <v>225.31249999151956</v>
      </c>
      <c r="K30" s="208">
        <v>112.65624999575978</v>
      </c>
      <c r="L30" s="208">
        <v>112.65624999575978</v>
      </c>
      <c r="M30" s="208">
        <v>84.492187496819838</v>
      </c>
      <c r="N30" s="208">
        <v>98.574218746289802</v>
      </c>
      <c r="O30" s="209">
        <v>1436.3671874459369</v>
      </c>
    </row>
    <row r="31" spans="1:15" x14ac:dyDescent="0.2">
      <c r="A31" s="202"/>
      <c r="B31" s="203" t="s">
        <v>86</v>
      </c>
      <c r="C31" s="207">
        <v>0</v>
      </c>
      <c r="D31" s="208">
        <v>0</v>
      </c>
      <c r="E31" s="208">
        <v>0</v>
      </c>
      <c r="F31" s="208">
        <v>0</v>
      </c>
      <c r="G31" s="208">
        <v>0</v>
      </c>
      <c r="H31" s="208">
        <v>0</v>
      </c>
      <c r="I31" s="208">
        <v>0</v>
      </c>
      <c r="J31" s="208">
        <v>0</v>
      </c>
      <c r="K31" s="208">
        <v>0</v>
      </c>
      <c r="L31" s="208">
        <v>0</v>
      </c>
      <c r="M31" s="208">
        <v>0</v>
      </c>
      <c r="N31" s="208">
        <v>0</v>
      </c>
      <c r="O31" s="209">
        <v>0</v>
      </c>
    </row>
    <row r="32" spans="1:15" x14ac:dyDescent="0.2">
      <c r="A32" s="202"/>
      <c r="B32" s="203" t="s">
        <v>88</v>
      </c>
      <c r="C32" s="207">
        <v>0</v>
      </c>
      <c r="D32" s="208">
        <v>0</v>
      </c>
      <c r="E32" s="208">
        <v>0</v>
      </c>
      <c r="F32" s="208">
        <v>0</v>
      </c>
      <c r="G32" s="208">
        <v>0</v>
      </c>
      <c r="H32" s="208">
        <v>0</v>
      </c>
      <c r="I32" s="208">
        <v>0</v>
      </c>
      <c r="J32" s="208">
        <v>0</v>
      </c>
      <c r="K32" s="208">
        <v>0</v>
      </c>
      <c r="L32" s="208">
        <v>0</v>
      </c>
      <c r="M32" s="208">
        <v>0</v>
      </c>
      <c r="N32" s="208">
        <v>0</v>
      </c>
      <c r="O32" s="209">
        <v>0</v>
      </c>
    </row>
    <row r="33" spans="1:15" x14ac:dyDescent="0.2">
      <c r="A33" s="192" t="s">
        <v>16</v>
      </c>
      <c r="B33" s="192" t="s">
        <v>69</v>
      </c>
      <c r="C33" s="199">
        <v>30.404857140158526</v>
      </c>
      <c r="D33" s="200">
        <v>45.60728571023779</v>
      </c>
      <c r="E33" s="200">
        <v>30.404857140158526</v>
      </c>
      <c r="F33" s="200">
        <v>15.202428570079263</v>
      </c>
      <c r="G33" s="200">
        <v>30.404857140158526</v>
      </c>
      <c r="H33" s="200">
        <v>45.60728571023779</v>
      </c>
      <c r="I33" s="200">
        <v>106.41699999055484</v>
      </c>
      <c r="J33" s="200">
        <v>76.012142850396316</v>
      </c>
      <c r="K33" s="200">
        <v>30.404857140158526</v>
      </c>
      <c r="L33" s="200">
        <v>45.60728571023779</v>
      </c>
      <c r="M33" s="200">
        <v>15.202428570079263</v>
      </c>
      <c r="N33" s="200">
        <v>30.404857140158526</v>
      </c>
      <c r="O33" s="201">
        <v>501.68014281261577</v>
      </c>
    </row>
    <row r="34" spans="1:15" x14ac:dyDescent="0.2">
      <c r="A34" s="202"/>
      <c r="B34" s="203" t="s">
        <v>25</v>
      </c>
      <c r="C34" s="204">
        <v>2.2407946412185815</v>
      </c>
      <c r="D34" s="205">
        <v>3.3611919618278705</v>
      </c>
      <c r="E34" s="205">
        <v>2.2407946412185815</v>
      </c>
      <c r="F34" s="205">
        <v>1.1203973206092908</v>
      </c>
      <c r="G34" s="205">
        <v>2.2407946412185815</v>
      </c>
      <c r="H34" s="205">
        <v>3.3611919618278705</v>
      </c>
      <c r="I34" s="205">
        <v>7.8427812442650406</v>
      </c>
      <c r="J34" s="205">
        <v>5.6019866030464556</v>
      </c>
      <c r="K34" s="205">
        <v>2.2407946412185815</v>
      </c>
      <c r="L34" s="205">
        <v>3.3611919618278705</v>
      </c>
      <c r="M34" s="205">
        <v>1.1203973206092908</v>
      </c>
      <c r="N34" s="205">
        <v>2.2407946412185815</v>
      </c>
      <c r="O34" s="206">
        <v>36.97311158010659</v>
      </c>
    </row>
    <row r="35" spans="1:15" x14ac:dyDescent="0.2">
      <c r="A35" s="202"/>
      <c r="B35" s="203" t="s">
        <v>26</v>
      </c>
      <c r="C35" s="204">
        <v>0.16044418036846766</v>
      </c>
      <c r="D35" s="205">
        <v>0.24066627055270151</v>
      </c>
      <c r="E35" s="205">
        <v>0.16044418036846766</v>
      </c>
      <c r="F35" s="205">
        <v>8.0222090184233832E-2</v>
      </c>
      <c r="G35" s="205">
        <v>0.16044418036846766</v>
      </c>
      <c r="H35" s="205">
        <v>0.24066627055270151</v>
      </c>
      <c r="I35" s="205">
        <v>0.56155463128963679</v>
      </c>
      <c r="J35" s="205">
        <v>0.40111045092116915</v>
      </c>
      <c r="K35" s="205">
        <v>0.16044418036846766</v>
      </c>
      <c r="L35" s="205">
        <v>0.24066627055270151</v>
      </c>
      <c r="M35" s="205">
        <v>8.0222090184233832E-2</v>
      </c>
      <c r="N35" s="205">
        <v>0.16044418036846766</v>
      </c>
      <c r="O35" s="206">
        <v>2.6473289760797165</v>
      </c>
    </row>
    <row r="36" spans="1:15" x14ac:dyDescent="0.2">
      <c r="A36" s="202"/>
      <c r="B36" s="203" t="s">
        <v>27</v>
      </c>
      <c r="C36" s="204">
        <v>2.4012388215870493</v>
      </c>
      <c r="D36" s="205">
        <v>3.6018582323805721</v>
      </c>
      <c r="E36" s="205">
        <v>2.4012388215870493</v>
      </c>
      <c r="F36" s="205">
        <v>1.2006194107935246</v>
      </c>
      <c r="G36" s="205">
        <v>2.4012388215870493</v>
      </c>
      <c r="H36" s="205">
        <v>3.6018582323805721</v>
      </c>
      <c r="I36" s="205">
        <v>8.4043358755546773</v>
      </c>
      <c r="J36" s="205">
        <v>6.0030970539676245</v>
      </c>
      <c r="K36" s="205">
        <v>2.4012388215870493</v>
      </c>
      <c r="L36" s="205">
        <v>3.6018582323805721</v>
      </c>
      <c r="M36" s="205">
        <v>1.2006194107935246</v>
      </c>
      <c r="N36" s="205">
        <v>2.4012388215870493</v>
      </c>
      <c r="O36" s="206">
        <v>39.62044055618631</v>
      </c>
    </row>
    <row r="37" spans="1:15" x14ac:dyDescent="0.2">
      <c r="A37" s="202"/>
      <c r="B37" s="203" t="s">
        <v>48</v>
      </c>
      <c r="C37" s="207">
        <v>28.164062498939945</v>
      </c>
      <c r="D37" s="208">
        <v>42.246093748409919</v>
      </c>
      <c r="E37" s="208">
        <v>28.164062498939945</v>
      </c>
      <c r="F37" s="208">
        <v>14.082031249469972</v>
      </c>
      <c r="G37" s="208">
        <v>28.164062498939945</v>
      </c>
      <c r="H37" s="208">
        <v>42.246093748409919</v>
      </c>
      <c r="I37" s="208">
        <v>98.574218746289802</v>
      </c>
      <c r="J37" s="208">
        <v>70.41015624734986</v>
      </c>
      <c r="K37" s="208">
        <v>28.164062498939945</v>
      </c>
      <c r="L37" s="208">
        <v>42.246093748409919</v>
      </c>
      <c r="M37" s="208">
        <v>14.082031249469972</v>
      </c>
      <c r="N37" s="208">
        <v>28.164062498939945</v>
      </c>
      <c r="O37" s="209">
        <v>464.70703123250905</v>
      </c>
    </row>
    <row r="38" spans="1:15" x14ac:dyDescent="0.2">
      <c r="A38" s="202"/>
      <c r="B38" s="203" t="s">
        <v>86</v>
      </c>
      <c r="C38" s="207">
        <v>0</v>
      </c>
      <c r="D38" s="208">
        <v>0</v>
      </c>
      <c r="E38" s="208">
        <v>0</v>
      </c>
      <c r="F38" s="208">
        <v>0</v>
      </c>
      <c r="G38" s="208">
        <v>0</v>
      </c>
      <c r="H38" s="208">
        <v>0</v>
      </c>
      <c r="I38" s="208">
        <v>0</v>
      </c>
      <c r="J38" s="208">
        <v>0</v>
      </c>
      <c r="K38" s="208">
        <v>0</v>
      </c>
      <c r="L38" s="208">
        <v>0</v>
      </c>
      <c r="M38" s="208">
        <v>0</v>
      </c>
      <c r="N38" s="208">
        <v>0</v>
      </c>
      <c r="O38" s="209">
        <v>0</v>
      </c>
    </row>
    <row r="39" spans="1:15" x14ac:dyDescent="0.2">
      <c r="A39" s="202"/>
      <c r="B39" s="203" t="s">
        <v>88</v>
      </c>
      <c r="C39" s="207">
        <v>0</v>
      </c>
      <c r="D39" s="208">
        <v>0</v>
      </c>
      <c r="E39" s="208">
        <v>0</v>
      </c>
      <c r="F39" s="208">
        <v>0</v>
      </c>
      <c r="G39" s="208">
        <v>0</v>
      </c>
      <c r="H39" s="208">
        <v>0</v>
      </c>
      <c r="I39" s="208">
        <v>0</v>
      </c>
      <c r="J39" s="208">
        <v>0</v>
      </c>
      <c r="K39" s="208">
        <v>0</v>
      </c>
      <c r="L39" s="208">
        <v>0</v>
      </c>
      <c r="M39" s="208">
        <v>0</v>
      </c>
      <c r="N39" s="208">
        <v>0</v>
      </c>
      <c r="O39" s="209">
        <v>0</v>
      </c>
    </row>
    <row r="40" spans="1:15" x14ac:dyDescent="0.2">
      <c r="A40" s="192" t="s">
        <v>19</v>
      </c>
      <c r="B40" s="192" t="s">
        <v>69</v>
      </c>
      <c r="C40" s="199">
        <v>1064.1699999055484</v>
      </c>
      <c r="D40" s="200">
        <v>760.12142850396322</v>
      </c>
      <c r="E40" s="200">
        <v>1018.5627141953106</v>
      </c>
      <c r="F40" s="200">
        <v>1079.3724284756277</v>
      </c>
      <c r="G40" s="200">
        <v>972.95542848507284</v>
      </c>
      <c r="H40" s="200">
        <v>1094.5748570457069</v>
      </c>
      <c r="I40" s="200">
        <v>167.22671427087189</v>
      </c>
      <c r="J40" s="200">
        <v>942.55057134491426</v>
      </c>
      <c r="K40" s="200">
        <v>1094.5748570457069</v>
      </c>
      <c r="L40" s="200">
        <v>1094.5748570457069</v>
      </c>
      <c r="M40" s="200">
        <v>1018.5627141953106</v>
      </c>
      <c r="N40" s="200">
        <v>1033.76514276539</v>
      </c>
      <c r="O40" s="201">
        <v>11341.011713279131</v>
      </c>
    </row>
    <row r="41" spans="1:15" x14ac:dyDescent="0.2">
      <c r="A41" s="202"/>
      <c r="B41" s="203" t="s">
        <v>25</v>
      </c>
      <c r="C41" s="204">
        <v>78.427812442650293</v>
      </c>
      <c r="D41" s="205">
        <v>56.019866030464641</v>
      </c>
      <c r="E41" s="205">
        <v>75.066620480822507</v>
      </c>
      <c r="F41" s="205">
        <v>79.548209763259592</v>
      </c>
      <c r="G41" s="205">
        <v>71.705428518994609</v>
      </c>
      <c r="H41" s="205">
        <v>80.668607083868892</v>
      </c>
      <c r="I41" s="205">
        <v>12.324370526702211</v>
      </c>
      <c r="J41" s="205">
        <v>69.464633877776009</v>
      </c>
      <c r="K41" s="205">
        <v>80.668607083868892</v>
      </c>
      <c r="L41" s="205">
        <v>80.668607083868892</v>
      </c>
      <c r="M41" s="205">
        <v>75.066620480822507</v>
      </c>
      <c r="N41" s="205">
        <v>76.187017801431921</v>
      </c>
      <c r="O41" s="206">
        <v>835.81640117453094</v>
      </c>
    </row>
    <row r="42" spans="1:15" x14ac:dyDescent="0.2">
      <c r="A42" s="202"/>
      <c r="B42" s="203" t="s">
        <v>26</v>
      </c>
      <c r="C42" s="204">
        <v>5.6155463128963685</v>
      </c>
      <c r="D42" s="205">
        <v>4.0111045092116919</v>
      </c>
      <c r="E42" s="205">
        <v>5.3748800423436673</v>
      </c>
      <c r="F42" s="205">
        <v>5.6957684030806028</v>
      </c>
      <c r="G42" s="205">
        <v>5.1342137717909653</v>
      </c>
      <c r="H42" s="205">
        <v>5.7759904932648354</v>
      </c>
      <c r="I42" s="205">
        <v>0.88244299202657228</v>
      </c>
      <c r="J42" s="205">
        <v>4.9737695914224975</v>
      </c>
      <c r="K42" s="205">
        <v>5.7759904932648354</v>
      </c>
      <c r="L42" s="205">
        <v>5.7759904932648354</v>
      </c>
      <c r="M42" s="205">
        <v>5.3748800423436673</v>
      </c>
      <c r="N42" s="205">
        <v>5.4551021325279008</v>
      </c>
      <c r="O42" s="206">
        <v>59.845679277438435</v>
      </c>
    </row>
    <row r="43" spans="1:15" x14ac:dyDescent="0.2">
      <c r="A43" s="202"/>
      <c r="B43" s="203" t="s">
        <v>27</v>
      </c>
      <c r="C43" s="204">
        <v>84.043358755546663</v>
      </c>
      <c r="D43" s="205">
        <v>60.030970539676332</v>
      </c>
      <c r="E43" s="205">
        <v>80.44150052316617</v>
      </c>
      <c r="F43" s="205">
        <v>85.243978166340199</v>
      </c>
      <c r="G43" s="205">
        <v>76.839642290785577</v>
      </c>
      <c r="H43" s="205">
        <v>86.44459757713372</v>
      </c>
      <c r="I43" s="205">
        <v>13.206813518728783</v>
      </c>
      <c r="J43" s="205">
        <v>74.438403469198505</v>
      </c>
      <c r="K43" s="205">
        <v>86.44459757713372</v>
      </c>
      <c r="L43" s="205">
        <v>86.44459757713372</v>
      </c>
      <c r="M43" s="205">
        <v>80.44150052316617</v>
      </c>
      <c r="N43" s="205">
        <v>81.642119933959819</v>
      </c>
      <c r="O43" s="206">
        <v>895.66208045196936</v>
      </c>
    </row>
    <row r="44" spans="1:15" x14ac:dyDescent="0.2">
      <c r="A44" s="202"/>
      <c r="B44" s="203" t="s">
        <v>48</v>
      </c>
      <c r="C44" s="207">
        <v>985.74218746289807</v>
      </c>
      <c r="D44" s="208">
        <v>704.10156247349857</v>
      </c>
      <c r="E44" s="208">
        <v>943.4960937144881</v>
      </c>
      <c r="F44" s="208">
        <v>999.82421871236807</v>
      </c>
      <c r="G44" s="208">
        <v>901.24999996607824</v>
      </c>
      <c r="H44" s="208">
        <v>1013.9062499618381</v>
      </c>
      <c r="I44" s="208">
        <v>154.90234374416968</v>
      </c>
      <c r="J44" s="208">
        <v>873.08593746713825</v>
      </c>
      <c r="K44" s="208">
        <v>1013.9062499618381</v>
      </c>
      <c r="L44" s="208">
        <v>1013.9062499618381</v>
      </c>
      <c r="M44" s="208">
        <v>943.4960937144881</v>
      </c>
      <c r="N44" s="208">
        <v>957.57812496395809</v>
      </c>
      <c r="O44" s="209">
        <v>10505.195312104599</v>
      </c>
    </row>
    <row r="45" spans="1:15" x14ac:dyDescent="0.2">
      <c r="A45" s="202"/>
      <c r="B45" s="203" t="s">
        <v>86</v>
      </c>
      <c r="C45" s="207">
        <v>0</v>
      </c>
      <c r="D45" s="208">
        <v>0</v>
      </c>
      <c r="E45" s="208">
        <v>0</v>
      </c>
      <c r="F45" s="208">
        <v>0</v>
      </c>
      <c r="G45" s="208">
        <v>0</v>
      </c>
      <c r="H45" s="208">
        <v>0</v>
      </c>
      <c r="I45" s="208">
        <v>0</v>
      </c>
      <c r="J45" s="208">
        <v>0</v>
      </c>
      <c r="K45" s="208">
        <v>0</v>
      </c>
      <c r="L45" s="208">
        <v>0</v>
      </c>
      <c r="M45" s="208">
        <v>0</v>
      </c>
      <c r="N45" s="208">
        <v>0</v>
      </c>
      <c r="O45" s="209">
        <v>0</v>
      </c>
    </row>
    <row r="46" spans="1:15" x14ac:dyDescent="0.2">
      <c r="A46" s="202"/>
      <c r="B46" s="203" t="s">
        <v>88</v>
      </c>
      <c r="C46" s="207">
        <v>0</v>
      </c>
      <c r="D46" s="208">
        <v>0</v>
      </c>
      <c r="E46" s="208">
        <v>0</v>
      </c>
      <c r="F46" s="208">
        <v>0</v>
      </c>
      <c r="G46" s="208">
        <v>0</v>
      </c>
      <c r="H46" s="208">
        <v>0</v>
      </c>
      <c r="I46" s="208">
        <v>0</v>
      </c>
      <c r="J46" s="208">
        <v>0</v>
      </c>
      <c r="K46" s="208">
        <v>0</v>
      </c>
      <c r="L46" s="208">
        <v>0</v>
      </c>
      <c r="M46" s="208">
        <v>0</v>
      </c>
      <c r="N46" s="208">
        <v>0</v>
      </c>
      <c r="O46" s="209">
        <v>0</v>
      </c>
    </row>
    <row r="47" spans="1:15" x14ac:dyDescent="0.2">
      <c r="A47" s="192" t="s">
        <v>8</v>
      </c>
      <c r="B47" s="192" t="s">
        <v>69</v>
      </c>
      <c r="C47" s="199">
        <v>1353.0161427370545</v>
      </c>
      <c r="D47" s="200">
        <v>1550.6477141480848</v>
      </c>
      <c r="E47" s="200">
        <v>972.95542848507284</v>
      </c>
      <c r="F47" s="200">
        <v>1079.3724284756277</v>
      </c>
      <c r="G47" s="200">
        <v>1641.8622855685603</v>
      </c>
      <c r="H47" s="200">
        <v>1976.3157141103043</v>
      </c>
      <c r="I47" s="200">
        <v>2295.5667140819687</v>
      </c>
      <c r="J47" s="200">
        <v>2204.352142661493</v>
      </c>
      <c r="K47" s="200">
        <v>1915.5059998299871</v>
      </c>
      <c r="L47" s="200">
        <v>1611.457428428402</v>
      </c>
      <c r="M47" s="200">
        <v>1018.5627141953106</v>
      </c>
      <c r="N47" s="200">
        <v>1246.5991427464996</v>
      </c>
      <c r="O47" s="201">
        <v>18866.21385546837</v>
      </c>
    </row>
    <row r="48" spans="1:15" x14ac:dyDescent="0.2">
      <c r="A48" s="202"/>
      <c r="B48" s="203" t="s">
        <v>25</v>
      </c>
      <c r="C48" s="204">
        <v>99.715361534226986</v>
      </c>
      <c r="D48" s="205">
        <v>114.28052670214765</v>
      </c>
      <c r="E48" s="205">
        <v>71.705428518994609</v>
      </c>
      <c r="F48" s="205">
        <v>79.548209763259592</v>
      </c>
      <c r="G48" s="205">
        <v>121.00291062580322</v>
      </c>
      <c r="H48" s="205">
        <v>145.65165167920782</v>
      </c>
      <c r="I48" s="205">
        <v>169.17999541200288</v>
      </c>
      <c r="J48" s="205">
        <v>162.45761148834686</v>
      </c>
      <c r="K48" s="205">
        <v>141.17006239677062</v>
      </c>
      <c r="L48" s="205">
        <v>118.76211598458485</v>
      </c>
      <c r="M48" s="205">
        <v>75.066620480822507</v>
      </c>
      <c r="N48" s="205">
        <v>91.872580289961888</v>
      </c>
      <c r="O48" s="206">
        <v>1390.4130748761297</v>
      </c>
    </row>
    <row r="49" spans="1:15" x14ac:dyDescent="0.2">
      <c r="A49" s="202"/>
      <c r="B49" s="203" t="s">
        <v>26</v>
      </c>
      <c r="C49" s="204">
        <v>7.1397660263968108</v>
      </c>
      <c r="D49" s="205">
        <v>8.1826531987918507</v>
      </c>
      <c r="E49" s="205">
        <v>5.1342137717909653</v>
      </c>
      <c r="F49" s="205">
        <v>5.6957684030806028</v>
      </c>
      <c r="G49" s="205">
        <v>8.6639857398972548</v>
      </c>
      <c r="H49" s="205">
        <v>10.428871723950397</v>
      </c>
      <c r="I49" s="205">
        <v>12.113535617819309</v>
      </c>
      <c r="J49" s="205">
        <v>11.632203076713905</v>
      </c>
      <c r="K49" s="205">
        <v>10.107983363213464</v>
      </c>
      <c r="L49" s="205">
        <v>8.5035415595287862</v>
      </c>
      <c r="M49" s="205">
        <v>5.3748800423436673</v>
      </c>
      <c r="N49" s="205">
        <v>6.5782113951071741</v>
      </c>
      <c r="O49" s="206">
        <v>99.55561391863418</v>
      </c>
    </row>
    <row r="50" spans="1:15" x14ac:dyDescent="0.2">
      <c r="A50" s="202"/>
      <c r="B50" s="203" t="s">
        <v>27</v>
      </c>
      <c r="C50" s="204">
        <v>106.8551275606238</v>
      </c>
      <c r="D50" s="205">
        <v>122.46317990093951</v>
      </c>
      <c r="E50" s="205">
        <v>76.839642290785577</v>
      </c>
      <c r="F50" s="205">
        <v>85.243978166340199</v>
      </c>
      <c r="G50" s="205">
        <v>129.66689636570047</v>
      </c>
      <c r="H50" s="205">
        <v>156.08052340315822</v>
      </c>
      <c r="I50" s="205">
        <v>181.29353102982219</v>
      </c>
      <c r="J50" s="205">
        <v>174.08981456506075</v>
      </c>
      <c r="K50" s="205">
        <v>151.27804575998408</v>
      </c>
      <c r="L50" s="205">
        <v>127.26565754411364</v>
      </c>
      <c r="M50" s="205">
        <v>80.44150052316617</v>
      </c>
      <c r="N50" s="205">
        <v>98.450791685069063</v>
      </c>
      <c r="O50" s="206">
        <v>1489.9686887947637</v>
      </c>
    </row>
    <row r="51" spans="1:15" x14ac:dyDescent="0.2">
      <c r="A51" s="202"/>
      <c r="B51" s="203" t="s">
        <v>48</v>
      </c>
      <c r="C51" s="207">
        <v>1253.3007812028275</v>
      </c>
      <c r="D51" s="208">
        <v>1436.3671874459371</v>
      </c>
      <c r="E51" s="208">
        <v>901.24999996607824</v>
      </c>
      <c r="F51" s="208">
        <v>999.82421871236807</v>
      </c>
      <c r="G51" s="208">
        <v>1520.8593749427571</v>
      </c>
      <c r="H51" s="208">
        <v>1830.6640624310965</v>
      </c>
      <c r="I51" s="208">
        <v>2126.3867186699658</v>
      </c>
      <c r="J51" s="208">
        <v>2041.8945311731461</v>
      </c>
      <c r="K51" s="208">
        <v>1774.3359374332165</v>
      </c>
      <c r="L51" s="208">
        <v>1492.6953124438171</v>
      </c>
      <c r="M51" s="208">
        <v>943.4960937144881</v>
      </c>
      <c r="N51" s="208">
        <v>1154.7265624565377</v>
      </c>
      <c r="O51" s="209">
        <v>17475.800780592235</v>
      </c>
    </row>
    <row r="52" spans="1:15" x14ac:dyDescent="0.2">
      <c r="A52" s="202"/>
      <c r="B52" s="203" t="s">
        <v>86</v>
      </c>
      <c r="C52" s="207">
        <v>0</v>
      </c>
      <c r="D52" s="208">
        <v>0</v>
      </c>
      <c r="E52" s="208">
        <v>0</v>
      </c>
      <c r="F52" s="208">
        <v>0</v>
      </c>
      <c r="G52" s="208">
        <v>0</v>
      </c>
      <c r="H52" s="208">
        <v>0</v>
      </c>
      <c r="I52" s="208">
        <v>0</v>
      </c>
      <c r="J52" s="208">
        <v>0</v>
      </c>
      <c r="K52" s="208">
        <v>0</v>
      </c>
      <c r="L52" s="208">
        <v>0</v>
      </c>
      <c r="M52" s="208">
        <v>0</v>
      </c>
      <c r="N52" s="208">
        <v>0</v>
      </c>
      <c r="O52" s="209">
        <v>0</v>
      </c>
    </row>
    <row r="53" spans="1:15" x14ac:dyDescent="0.2">
      <c r="A53" s="202"/>
      <c r="B53" s="203" t="s">
        <v>88</v>
      </c>
      <c r="C53" s="207">
        <v>0</v>
      </c>
      <c r="D53" s="208">
        <v>0</v>
      </c>
      <c r="E53" s="208">
        <v>0</v>
      </c>
      <c r="F53" s="208">
        <v>0</v>
      </c>
      <c r="G53" s="208">
        <v>0</v>
      </c>
      <c r="H53" s="208">
        <v>0</v>
      </c>
      <c r="I53" s="208">
        <v>0</v>
      </c>
      <c r="J53" s="208">
        <v>0</v>
      </c>
      <c r="K53" s="208">
        <v>0</v>
      </c>
      <c r="L53" s="208">
        <v>0</v>
      </c>
      <c r="M53" s="208">
        <v>0</v>
      </c>
      <c r="N53" s="208">
        <v>0</v>
      </c>
      <c r="O53" s="209">
        <v>0</v>
      </c>
    </row>
    <row r="54" spans="1:15" x14ac:dyDescent="0.2">
      <c r="A54" s="192" t="s">
        <v>21</v>
      </c>
      <c r="B54" s="192" t="s">
        <v>69</v>
      </c>
      <c r="C54" s="199">
        <v>44710.342424603114</v>
      </c>
      <c r="D54" s="200">
        <v>48967.02242422531</v>
      </c>
      <c r="E54" s="200">
        <v>36774.67471102174</v>
      </c>
      <c r="F54" s="200">
        <v>41304.99842490536</v>
      </c>
      <c r="G54" s="200">
        <v>51353.803709727748</v>
      </c>
      <c r="H54" s="200">
        <v>58134.086851983106</v>
      </c>
      <c r="I54" s="200">
        <v>62481.981423025769</v>
      </c>
      <c r="J54" s="200">
        <v>62269.147423044662</v>
      </c>
      <c r="K54" s="200">
        <v>55595.281280779862</v>
      </c>
      <c r="L54" s="200">
        <v>49575.11956702848</v>
      </c>
      <c r="M54" s="200">
        <v>37230.747568124112</v>
      </c>
      <c r="N54" s="200">
        <v>42825.241281913288</v>
      </c>
      <c r="O54" s="201">
        <v>591222.44709038257</v>
      </c>
    </row>
    <row r="55" spans="1:15" x14ac:dyDescent="0.2">
      <c r="A55" s="202"/>
      <c r="B55" s="203" t="s">
        <v>25</v>
      </c>
      <c r="C55" s="204">
        <v>3295.088519911922</v>
      </c>
      <c r="D55" s="205">
        <v>3608.7997696825259</v>
      </c>
      <c r="E55" s="205">
        <v>2710.2411185538804</v>
      </c>
      <c r="F55" s="205">
        <v>3044.1195200954462</v>
      </c>
      <c r="G55" s="205">
        <v>3784.7021490181796</v>
      </c>
      <c r="H55" s="205">
        <v>4284.3993540099327</v>
      </c>
      <c r="I55" s="205">
        <v>4604.8329877041833</v>
      </c>
      <c r="J55" s="205">
        <v>4589.1474252156549</v>
      </c>
      <c r="K55" s="205">
        <v>4097.2930014681697</v>
      </c>
      <c r="L55" s="205">
        <v>3653.6156625068979</v>
      </c>
      <c r="M55" s="205">
        <v>2743.8530381721503</v>
      </c>
      <c r="N55" s="205">
        <v>3156.1592521563725</v>
      </c>
      <c r="O55" s="206">
        <v>43572.251798495316</v>
      </c>
    </row>
    <row r="56" spans="1:15" x14ac:dyDescent="0.2">
      <c r="A56" s="202"/>
      <c r="B56" s="203" t="s">
        <v>26</v>
      </c>
      <c r="C56" s="204">
        <v>235.93316723183173</v>
      </c>
      <c r="D56" s="205">
        <v>258.39535248341718</v>
      </c>
      <c r="E56" s="205">
        <v>194.05723615566166</v>
      </c>
      <c r="F56" s="205">
        <v>217.96341903056333</v>
      </c>
      <c r="G56" s="205">
        <v>270.99022064234185</v>
      </c>
      <c r="H56" s="205">
        <v>306.76927286451019</v>
      </c>
      <c r="I56" s="205">
        <v>329.71279065720103</v>
      </c>
      <c r="J56" s="205">
        <v>328.58968139462178</v>
      </c>
      <c r="K56" s="205">
        <v>293.3721838037431</v>
      </c>
      <c r="L56" s="205">
        <v>261.60423609078651</v>
      </c>
      <c r="M56" s="205">
        <v>196.46389886118865</v>
      </c>
      <c r="N56" s="205">
        <v>225.98562804898671</v>
      </c>
      <c r="O56" s="206">
        <v>3119.8370872648538</v>
      </c>
    </row>
    <row r="57" spans="1:15" x14ac:dyDescent="0.2">
      <c r="A57" s="202"/>
      <c r="B57" s="203" t="s">
        <v>27</v>
      </c>
      <c r="C57" s="204">
        <v>3531.0216871437538</v>
      </c>
      <c r="D57" s="205">
        <v>3867.1951221659433</v>
      </c>
      <c r="E57" s="205">
        <v>2904.2983547095419</v>
      </c>
      <c r="F57" s="205">
        <v>3262.0829391260095</v>
      </c>
      <c r="G57" s="205">
        <v>4055.6923696605213</v>
      </c>
      <c r="H57" s="205">
        <v>4591.1686268744434</v>
      </c>
      <c r="I57" s="205">
        <v>4934.5457783613847</v>
      </c>
      <c r="J57" s="205">
        <v>4917.7371066102769</v>
      </c>
      <c r="K57" s="205">
        <v>4390.6651852719124</v>
      </c>
      <c r="L57" s="205">
        <v>3915.2198985976843</v>
      </c>
      <c r="M57" s="205">
        <v>2940.3169370333389</v>
      </c>
      <c r="N57" s="205">
        <v>3382.1448802053592</v>
      </c>
      <c r="O57" s="206">
        <v>46692.088885760175</v>
      </c>
    </row>
    <row r="58" spans="1:15" x14ac:dyDescent="0.2">
      <c r="A58" s="202"/>
      <c r="B58" s="203" t="s">
        <v>48</v>
      </c>
      <c r="C58" s="207">
        <v>41415.253904691192</v>
      </c>
      <c r="D58" s="208">
        <v>45358.222654542784</v>
      </c>
      <c r="E58" s="208">
        <v>34064.43359246786</v>
      </c>
      <c r="F58" s="208">
        <v>38260.878904809913</v>
      </c>
      <c r="G58" s="208">
        <v>47569.101560709569</v>
      </c>
      <c r="H58" s="208">
        <v>53849.687497973173</v>
      </c>
      <c r="I58" s="208">
        <v>57877.148435321586</v>
      </c>
      <c r="J58" s="208">
        <v>57679.999997829007</v>
      </c>
      <c r="K58" s="208">
        <v>51497.988279311692</v>
      </c>
      <c r="L58" s="208">
        <v>45921.503904521582</v>
      </c>
      <c r="M58" s="208">
        <v>34486.894529951962</v>
      </c>
      <c r="N58" s="208">
        <v>39669.082029756915</v>
      </c>
      <c r="O58" s="209">
        <v>547650.19529188727</v>
      </c>
    </row>
    <row r="59" spans="1:15" x14ac:dyDescent="0.2">
      <c r="A59" s="202"/>
      <c r="B59" s="203" t="s">
        <v>86</v>
      </c>
      <c r="C59" s="207">
        <v>0</v>
      </c>
      <c r="D59" s="208">
        <v>0</v>
      </c>
      <c r="E59" s="208">
        <v>0</v>
      </c>
      <c r="F59" s="208">
        <v>0</v>
      </c>
      <c r="G59" s="208">
        <v>0</v>
      </c>
      <c r="H59" s="208">
        <v>0</v>
      </c>
      <c r="I59" s="208">
        <v>0</v>
      </c>
      <c r="J59" s="208">
        <v>0</v>
      </c>
      <c r="K59" s="208">
        <v>0</v>
      </c>
      <c r="L59" s="208">
        <v>0</v>
      </c>
      <c r="M59" s="208">
        <v>0</v>
      </c>
      <c r="N59" s="208">
        <v>0</v>
      </c>
      <c r="O59" s="209">
        <v>0</v>
      </c>
    </row>
    <row r="60" spans="1:15" x14ac:dyDescent="0.2">
      <c r="A60" s="202"/>
      <c r="B60" s="203" t="s">
        <v>88</v>
      </c>
      <c r="C60" s="207">
        <v>0</v>
      </c>
      <c r="D60" s="208">
        <v>0</v>
      </c>
      <c r="E60" s="208">
        <v>0</v>
      </c>
      <c r="F60" s="208">
        <v>0</v>
      </c>
      <c r="G60" s="208">
        <v>0</v>
      </c>
      <c r="H60" s="208">
        <v>0</v>
      </c>
      <c r="I60" s="208">
        <v>0</v>
      </c>
      <c r="J60" s="208">
        <v>0</v>
      </c>
      <c r="K60" s="208">
        <v>0</v>
      </c>
      <c r="L60" s="208">
        <v>0</v>
      </c>
      <c r="M60" s="208">
        <v>0</v>
      </c>
      <c r="N60" s="208">
        <v>0</v>
      </c>
      <c r="O60" s="209">
        <v>0</v>
      </c>
    </row>
    <row r="61" spans="1:15" x14ac:dyDescent="0.2">
      <c r="A61" s="192" t="s">
        <v>22</v>
      </c>
      <c r="B61" s="192" t="s">
        <v>69</v>
      </c>
      <c r="C61" s="199">
        <v>51901.091138250602</v>
      </c>
      <c r="D61" s="200">
        <v>50624.087138363946</v>
      </c>
      <c r="E61" s="200">
        <v>37747.630139506808</v>
      </c>
      <c r="F61" s="200">
        <v>38750.99042513204</v>
      </c>
      <c r="G61" s="200">
        <v>45713.702710228346</v>
      </c>
      <c r="H61" s="200">
        <v>51338.601281157673</v>
      </c>
      <c r="I61" s="200">
        <v>56598.641566405095</v>
      </c>
      <c r="J61" s="200">
        <v>56477.022137844462</v>
      </c>
      <c r="K61" s="200">
        <v>49499.107424178081</v>
      </c>
      <c r="L61" s="200">
        <v>45820.119710218896</v>
      </c>
      <c r="M61" s="200">
        <v>35543.277996845318</v>
      </c>
      <c r="N61" s="200">
        <v>45136.010424565335</v>
      </c>
      <c r="O61" s="201">
        <v>565150.28209269664</v>
      </c>
    </row>
    <row r="62" spans="1:15" x14ac:dyDescent="0.2">
      <c r="A62" s="202"/>
      <c r="B62" s="203" t="s">
        <v>25</v>
      </c>
      <c r="C62" s="204">
        <v>3825.0364525601181</v>
      </c>
      <c r="D62" s="205">
        <v>3730.9230776289405</v>
      </c>
      <c r="E62" s="205">
        <v>2781.9465470728683</v>
      </c>
      <c r="F62" s="205">
        <v>2855.8927702330839</v>
      </c>
      <c r="G62" s="205">
        <v>3369.0347430721376</v>
      </c>
      <c r="H62" s="205">
        <v>3783.5817516975731</v>
      </c>
      <c r="I62" s="205">
        <v>4171.2392246283853</v>
      </c>
      <c r="J62" s="205">
        <v>4162.2760460635182</v>
      </c>
      <c r="K62" s="205">
        <v>3648.0136759038505</v>
      </c>
      <c r="L62" s="205">
        <v>3376.8775243163982</v>
      </c>
      <c r="M62" s="205">
        <v>2619.4889355845226</v>
      </c>
      <c r="N62" s="205">
        <v>3326.4596448889861</v>
      </c>
      <c r="O62" s="206">
        <v>41650.770393650382</v>
      </c>
    </row>
    <row r="63" spans="1:15" x14ac:dyDescent="0.2">
      <c r="A63" s="202"/>
      <c r="B63" s="203" t="s">
        <v>26</v>
      </c>
      <c r="C63" s="204">
        <v>273.87821588897435</v>
      </c>
      <c r="D63" s="205">
        <v>267.13956031349869</v>
      </c>
      <c r="E63" s="205">
        <v>199.1914499274526</v>
      </c>
      <c r="F63" s="205">
        <v>204.48610787961204</v>
      </c>
      <c r="G63" s="205">
        <v>241.22782518399114</v>
      </c>
      <c r="H63" s="205">
        <v>270.90999855215767</v>
      </c>
      <c r="I63" s="205">
        <v>298.66684175590257</v>
      </c>
      <c r="J63" s="205">
        <v>298.02506503442868</v>
      </c>
      <c r="K63" s="205">
        <v>261.20312563986539</v>
      </c>
      <c r="L63" s="205">
        <v>241.78937981528077</v>
      </c>
      <c r="M63" s="205">
        <v>187.55924685073873</v>
      </c>
      <c r="N63" s="205">
        <v>238.17938575699026</v>
      </c>
      <c r="O63" s="206">
        <v>2982.2562025988932</v>
      </c>
    </row>
    <row r="64" spans="1:15" x14ac:dyDescent="0.2">
      <c r="A64" s="202"/>
      <c r="B64" s="203" t="s">
        <v>27</v>
      </c>
      <c r="C64" s="204">
        <v>4098.9146684490925</v>
      </c>
      <c r="D64" s="205">
        <v>3998.0626379424393</v>
      </c>
      <c r="E64" s="205">
        <v>2981.1379970003209</v>
      </c>
      <c r="F64" s="205">
        <v>3060.3788781126959</v>
      </c>
      <c r="G64" s="205">
        <v>3610.2625682561288</v>
      </c>
      <c r="H64" s="205">
        <v>4054.4917502497306</v>
      </c>
      <c r="I64" s="205">
        <v>4469.9060663842874</v>
      </c>
      <c r="J64" s="205">
        <v>4460.3011110979469</v>
      </c>
      <c r="K64" s="205">
        <v>3909.216801543716</v>
      </c>
      <c r="L64" s="205">
        <v>3618.6669041316791</v>
      </c>
      <c r="M64" s="205">
        <v>2807.0481824352614</v>
      </c>
      <c r="N64" s="205">
        <v>3564.6390306459762</v>
      </c>
      <c r="O64" s="206">
        <v>44633.02659624927</v>
      </c>
    </row>
    <row r="65" spans="1:15" x14ac:dyDescent="0.2">
      <c r="A65" s="202"/>
      <c r="B65" s="203" t="s">
        <v>48</v>
      </c>
      <c r="C65" s="207">
        <v>48076.054685690484</v>
      </c>
      <c r="D65" s="208">
        <v>46893.164060735005</v>
      </c>
      <c r="E65" s="208">
        <v>34965.683592433939</v>
      </c>
      <c r="F65" s="208">
        <v>35895.097654898957</v>
      </c>
      <c r="G65" s="208">
        <v>42344.667967156209</v>
      </c>
      <c r="H65" s="208">
        <v>47555.0195294601</v>
      </c>
      <c r="I65" s="208">
        <v>52427.402341776709</v>
      </c>
      <c r="J65" s="208">
        <v>52314.746091780944</v>
      </c>
      <c r="K65" s="208">
        <v>45851.09374827423</v>
      </c>
      <c r="L65" s="208">
        <v>42443.242185902498</v>
      </c>
      <c r="M65" s="208">
        <v>32923.789061260795</v>
      </c>
      <c r="N65" s="208">
        <v>41809.550779676349</v>
      </c>
      <c r="O65" s="209">
        <v>523499.5116990463</v>
      </c>
    </row>
    <row r="66" spans="1:15" x14ac:dyDescent="0.2">
      <c r="A66" s="202"/>
      <c r="B66" s="203" t="s">
        <v>86</v>
      </c>
      <c r="C66" s="207">
        <v>0</v>
      </c>
      <c r="D66" s="208">
        <v>0</v>
      </c>
      <c r="E66" s="208">
        <v>0</v>
      </c>
      <c r="F66" s="208">
        <v>0</v>
      </c>
      <c r="G66" s="208">
        <v>0</v>
      </c>
      <c r="H66" s="208">
        <v>0</v>
      </c>
      <c r="I66" s="208">
        <v>0</v>
      </c>
      <c r="J66" s="208">
        <v>0</v>
      </c>
      <c r="K66" s="208">
        <v>0</v>
      </c>
      <c r="L66" s="208">
        <v>0</v>
      </c>
      <c r="M66" s="208">
        <v>0</v>
      </c>
      <c r="N66" s="208">
        <v>0</v>
      </c>
      <c r="O66" s="209">
        <v>0</v>
      </c>
    </row>
    <row r="67" spans="1:15" x14ac:dyDescent="0.2">
      <c r="A67" s="202"/>
      <c r="B67" s="203" t="s">
        <v>88</v>
      </c>
      <c r="C67" s="207">
        <v>0</v>
      </c>
      <c r="D67" s="208">
        <v>0</v>
      </c>
      <c r="E67" s="208">
        <v>0</v>
      </c>
      <c r="F67" s="208">
        <v>0</v>
      </c>
      <c r="G67" s="208">
        <v>0</v>
      </c>
      <c r="H67" s="208">
        <v>0</v>
      </c>
      <c r="I67" s="208">
        <v>0</v>
      </c>
      <c r="J67" s="208">
        <v>0</v>
      </c>
      <c r="K67" s="208">
        <v>0</v>
      </c>
      <c r="L67" s="208">
        <v>0</v>
      </c>
      <c r="M67" s="208">
        <v>0</v>
      </c>
      <c r="N67" s="208">
        <v>0</v>
      </c>
      <c r="O67" s="209">
        <v>0</v>
      </c>
    </row>
    <row r="68" spans="1:15" x14ac:dyDescent="0.2">
      <c r="A68" s="192" t="s">
        <v>9</v>
      </c>
      <c r="B68" s="192" t="s">
        <v>69</v>
      </c>
      <c r="C68" s="199">
        <v>1018.5627141953106</v>
      </c>
      <c r="D68" s="200">
        <v>1079.3724284756277</v>
      </c>
      <c r="E68" s="200">
        <v>744.91899993388392</v>
      </c>
      <c r="F68" s="200">
        <v>562.48985709293277</v>
      </c>
      <c r="G68" s="200">
        <v>760.12142850396322</v>
      </c>
      <c r="H68" s="200">
        <v>820.93114278428015</v>
      </c>
      <c r="I68" s="200">
        <v>942.55057134491426</v>
      </c>
      <c r="J68" s="200">
        <v>836.13357135435945</v>
      </c>
      <c r="K68" s="200">
        <v>760.12142850396322</v>
      </c>
      <c r="L68" s="200">
        <v>714.51414279372534</v>
      </c>
      <c r="M68" s="200">
        <v>729.71657136380463</v>
      </c>
      <c r="N68" s="200">
        <v>881.74085706459732</v>
      </c>
      <c r="O68" s="201">
        <v>9851.1737134113628</v>
      </c>
    </row>
    <row r="69" spans="1:15" x14ac:dyDescent="0.2">
      <c r="A69" s="202"/>
      <c r="B69" s="203" t="s">
        <v>25</v>
      </c>
      <c r="C69" s="204">
        <v>75.066620480822507</v>
      </c>
      <c r="D69" s="205">
        <v>79.548209763259592</v>
      </c>
      <c r="E69" s="205">
        <v>54.899468709855228</v>
      </c>
      <c r="F69" s="205">
        <v>41.454700862543746</v>
      </c>
      <c r="G69" s="205">
        <v>56.019866030464641</v>
      </c>
      <c r="H69" s="205">
        <v>60.501455312901612</v>
      </c>
      <c r="I69" s="205">
        <v>69.464633877776009</v>
      </c>
      <c r="J69" s="205">
        <v>61.621852633510912</v>
      </c>
      <c r="K69" s="205">
        <v>56.019866030464641</v>
      </c>
      <c r="L69" s="205">
        <v>52.658674068636628</v>
      </c>
      <c r="M69" s="205">
        <v>53.779071389245928</v>
      </c>
      <c r="N69" s="205">
        <v>64.983044595338924</v>
      </c>
      <c r="O69" s="206">
        <v>726.01746375482037</v>
      </c>
    </row>
    <row r="70" spans="1:15" x14ac:dyDescent="0.2">
      <c r="A70" s="202"/>
      <c r="B70" s="203" t="s">
        <v>26</v>
      </c>
      <c r="C70" s="204">
        <v>5.3748800423436673</v>
      </c>
      <c r="D70" s="205">
        <v>5.6957684030806028</v>
      </c>
      <c r="E70" s="205">
        <v>3.9308824190274581</v>
      </c>
      <c r="F70" s="205">
        <v>2.968217336816652</v>
      </c>
      <c r="G70" s="205">
        <v>4.0111045092116919</v>
      </c>
      <c r="H70" s="205">
        <v>4.3319928699486274</v>
      </c>
      <c r="I70" s="205">
        <v>4.9737695914224975</v>
      </c>
      <c r="J70" s="205">
        <v>4.4122149601328617</v>
      </c>
      <c r="K70" s="205">
        <v>4.0111045092116919</v>
      </c>
      <c r="L70" s="205">
        <v>3.7704382386589903</v>
      </c>
      <c r="M70" s="205">
        <v>3.8506603288432242</v>
      </c>
      <c r="N70" s="205">
        <v>4.6528812306855629</v>
      </c>
      <c r="O70" s="206">
        <v>51.983914439383533</v>
      </c>
    </row>
    <row r="71" spans="1:15" x14ac:dyDescent="0.2">
      <c r="A71" s="202"/>
      <c r="B71" s="203" t="s">
        <v>27</v>
      </c>
      <c r="C71" s="204">
        <v>80.44150052316617</v>
      </c>
      <c r="D71" s="205">
        <v>85.243978166340199</v>
      </c>
      <c r="E71" s="205">
        <v>58.830351128882683</v>
      </c>
      <c r="F71" s="205">
        <v>44.422918199360396</v>
      </c>
      <c r="G71" s="205">
        <v>60.030970539676332</v>
      </c>
      <c r="H71" s="205">
        <v>64.833448182850233</v>
      </c>
      <c r="I71" s="205">
        <v>74.438403469198505</v>
      </c>
      <c r="J71" s="205">
        <v>66.034067593643769</v>
      </c>
      <c r="K71" s="205">
        <v>60.030970539676332</v>
      </c>
      <c r="L71" s="205">
        <v>56.429112307295618</v>
      </c>
      <c r="M71" s="205">
        <v>57.629731718089154</v>
      </c>
      <c r="N71" s="205">
        <v>69.63592582602449</v>
      </c>
      <c r="O71" s="206">
        <v>778.00137819420388</v>
      </c>
    </row>
    <row r="72" spans="1:15" x14ac:dyDescent="0.2">
      <c r="A72" s="202"/>
      <c r="B72" s="203" t="s">
        <v>48</v>
      </c>
      <c r="C72" s="207">
        <v>943.4960937144881</v>
      </c>
      <c r="D72" s="208">
        <v>999.82421871236807</v>
      </c>
      <c r="E72" s="208">
        <v>690.0195312240287</v>
      </c>
      <c r="F72" s="208">
        <v>521.03515623038902</v>
      </c>
      <c r="G72" s="208">
        <v>704.10156247349857</v>
      </c>
      <c r="H72" s="208">
        <v>760.42968747137854</v>
      </c>
      <c r="I72" s="208">
        <v>873.08593746713825</v>
      </c>
      <c r="J72" s="208">
        <v>774.51171872084853</v>
      </c>
      <c r="K72" s="208">
        <v>704.10156247349857</v>
      </c>
      <c r="L72" s="208">
        <v>661.85546872508871</v>
      </c>
      <c r="M72" s="208">
        <v>675.9374999745587</v>
      </c>
      <c r="N72" s="208">
        <v>816.7578124692584</v>
      </c>
      <c r="O72" s="209">
        <v>9125.1562496565421</v>
      </c>
    </row>
    <row r="73" spans="1:15" x14ac:dyDescent="0.2">
      <c r="A73" s="202"/>
      <c r="B73" s="203" t="s">
        <v>86</v>
      </c>
      <c r="C73" s="207">
        <v>0</v>
      </c>
      <c r="D73" s="208">
        <v>0</v>
      </c>
      <c r="E73" s="208">
        <v>0</v>
      </c>
      <c r="F73" s="208">
        <v>0</v>
      </c>
      <c r="G73" s="208">
        <v>0</v>
      </c>
      <c r="H73" s="208">
        <v>0</v>
      </c>
      <c r="I73" s="208">
        <v>0</v>
      </c>
      <c r="J73" s="208">
        <v>0</v>
      </c>
      <c r="K73" s="208">
        <v>0</v>
      </c>
      <c r="L73" s="208">
        <v>0</v>
      </c>
      <c r="M73" s="208">
        <v>0</v>
      </c>
      <c r="N73" s="208">
        <v>0</v>
      </c>
      <c r="O73" s="209">
        <v>0</v>
      </c>
    </row>
    <row r="74" spans="1:15" x14ac:dyDescent="0.2">
      <c r="A74" s="202"/>
      <c r="B74" s="203" t="s">
        <v>88</v>
      </c>
      <c r="C74" s="207">
        <v>0</v>
      </c>
      <c r="D74" s="208">
        <v>0</v>
      </c>
      <c r="E74" s="208">
        <v>0</v>
      </c>
      <c r="F74" s="208">
        <v>0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208">
        <v>0</v>
      </c>
      <c r="M74" s="208">
        <v>0</v>
      </c>
      <c r="N74" s="208">
        <v>0</v>
      </c>
      <c r="O74" s="209">
        <v>0</v>
      </c>
    </row>
    <row r="75" spans="1:15" x14ac:dyDescent="0.2">
      <c r="A75" s="192" t="s">
        <v>53</v>
      </c>
      <c r="B75" s="192" t="s">
        <v>69</v>
      </c>
      <c r="C75" s="199">
        <v>2082.7327141008591</v>
      </c>
      <c r="D75" s="200">
        <v>2371.5788569323649</v>
      </c>
      <c r="E75" s="200">
        <v>1717.8744284189568</v>
      </c>
      <c r="F75" s="200">
        <v>1702.6719998488775</v>
      </c>
      <c r="G75" s="200">
        <v>2158.7448569512553</v>
      </c>
      <c r="H75" s="200">
        <v>2508.4007140630783</v>
      </c>
      <c r="I75" s="200">
        <v>2812.4492854646637</v>
      </c>
      <c r="J75" s="200">
        <v>2903.6638568851395</v>
      </c>
      <c r="K75" s="200">
        <v>2128.3399998110967</v>
      </c>
      <c r="L75" s="200">
        <v>2082.7327141008591</v>
      </c>
      <c r="M75" s="200">
        <v>1824.2914284095116</v>
      </c>
      <c r="N75" s="200">
        <v>1945.9108569701457</v>
      </c>
      <c r="O75" s="201">
        <v>26239.391711956807</v>
      </c>
    </row>
    <row r="76" spans="1:15" x14ac:dyDescent="0.2">
      <c r="A76" s="202"/>
      <c r="B76" s="203" t="s">
        <v>25</v>
      </c>
      <c r="C76" s="207">
        <v>153.49443292347291</v>
      </c>
      <c r="D76" s="208">
        <v>174.78198201504938</v>
      </c>
      <c r="E76" s="208">
        <v>126.60489722884995</v>
      </c>
      <c r="F76" s="208">
        <v>125.48449990824065</v>
      </c>
      <c r="G76" s="208">
        <v>159.09641952651918</v>
      </c>
      <c r="H76" s="208">
        <v>184.86555790053308</v>
      </c>
      <c r="I76" s="208">
        <v>207.27350431271861</v>
      </c>
      <c r="J76" s="208">
        <v>213.99588823637487</v>
      </c>
      <c r="K76" s="208">
        <v>156.85562488530059</v>
      </c>
      <c r="L76" s="208">
        <v>153.49443292347291</v>
      </c>
      <c r="M76" s="208">
        <v>134.44767847311482</v>
      </c>
      <c r="N76" s="208">
        <v>143.41085703798922</v>
      </c>
      <c r="O76" s="209">
        <v>1933.8057753716362</v>
      </c>
    </row>
    <row r="77" spans="1:15" x14ac:dyDescent="0.2">
      <c r="A77" s="202"/>
      <c r="B77" s="203" t="s">
        <v>26</v>
      </c>
      <c r="C77" s="207">
        <v>10.990426355240034</v>
      </c>
      <c r="D77" s="208">
        <v>12.514646068740479</v>
      </c>
      <c r="E77" s="208">
        <v>9.0650961908184229</v>
      </c>
      <c r="F77" s="208">
        <v>8.9848741006341886</v>
      </c>
      <c r="G77" s="208">
        <v>11.391536806161206</v>
      </c>
      <c r="H77" s="208">
        <v>13.236644880398583</v>
      </c>
      <c r="I77" s="208">
        <v>14.841086684083258</v>
      </c>
      <c r="J77" s="208">
        <v>15.322419225188662</v>
      </c>
      <c r="K77" s="208">
        <v>11.231092625792737</v>
      </c>
      <c r="L77" s="208">
        <v>10.990426355240034</v>
      </c>
      <c r="M77" s="208">
        <v>9.6266508221080596</v>
      </c>
      <c r="N77" s="208">
        <v>10.268427543581931</v>
      </c>
      <c r="O77" s="209">
        <v>138.46332765798761</v>
      </c>
    </row>
    <row r="78" spans="1:15" x14ac:dyDescent="0.2">
      <c r="A78" s="202"/>
      <c r="B78" s="203" t="s">
        <v>27</v>
      </c>
      <c r="C78" s="207">
        <v>164.48485927871295</v>
      </c>
      <c r="D78" s="208">
        <v>187.29662808378987</v>
      </c>
      <c r="E78" s="208">
        <v>135.66999341966837</v>
      </c>
      <c r="F78" s="208">
        <v>134.46937400887484</v>
      </c>
      <c r="G78" s="208">
        <v>170.4879563326804</v>
      </c>
      <c r="H78" s="208">
        <v>198.10220278093166</v>
      </c>
      <c r="I78" s="208">
        <v>222.11459099680187</v>
      </c>
      <c r="J78" s="208">
        <v>229.31830746156353</v>
      </c>
      <c r="K78" s="208">
        <v>168.08671751109333</v>
      </c>
      <c r="L78" s="208">
        <v>164.48485927871295</v>
      </c>
      <c r="M78" s="208">
        <v>144.07432929522287</v>
      </c>
      <c r="N78" s="208">
        <v>153.67928458157115</v>
      </c>
      <c r="O78" s="209">
        <v>2072.2691030296237</v>
      </c>
    </row>
    <row r="79" spans="1:15" x14ac:dyDescent="0.2">
      <c r="A79" s="202"/>
      <c r="B79" s="203" t="s">
        <v>48</v>
      </c>
      <c r="C79" s="207">
        <v>1929.2382811773862</v>
      </c>
      <c r="D79" s="208">
        <v>2196.7968749173156</v>
      </c>
      <c r="E79" s="208">
        <v>1591.2695311901068</v>
      </c>
      <c r="F79" s="208">
        <v>1577.1874999406368</v>
      </c>
      <c r="G79" s="208">
        <v>1999.6484374247361</v>
      </c>
      <c r="H79" s="208">
        <v>2323.5351561625453</v>
      </c>
      <c r="I79" s="208">
        <v>2605.1757811519451</v>
      </c>
      <c r="J79" s="208">
        <v>2689.6679686487646</v>
      </c>
      <c r="K79" s="208">
        <v>1971.4843749257961</v>
      </c>
      <c r="L79" s="208">
        <v>1929.2382811773862</v>
      </c>
      <c r="M79" s="208">
        <v>1689.8437499363968</v>
      </c>
      <c r="N79" s="208">
        <v>1802.4999999321565</v>
      </c>
      <c r="O79" s="209">
        <v>24305.585936585172</v>
      </c>
    </row>
    <row r="80" spans="1:15" x14ac:dyDescent="0.2">
      <c r="A80" s="202"/>
      <c r="B80" s="203" t="s">
        <v>86</v>
      </c>
      <c r="C80" s="207">
        <v>0</v>
      </c>
      <c r="D80" s="208">
        <v>0</v>
      </c>
      <c r="E80" s="208">
        <v>0</v>
      </c>
      <c r="F80" s="208">
        <v>0</v>
      </c>
      <c r="G80" s="208">
        <v>0</v>
      </c>
      <c r="H80" s="208">
        <v>0</v>
      </c>
      <c r="I80" s="208">
        <v>0</v>
      </c>
      <c r="J80" s="208">
        <v>0</v>
      </c>
      <c r="K80" s="208">
        <v>0</v>
      </c>
      <c r="L80" s="208">
        <v>0</v>
      </c>
      <c r="M80" s="208">
        <v>0</v>
      </c>
      <c r="N80" s="208">
        <v>0</v>
      </c>
      <c r="O80" s="209">
        <v>0</v>
      </c>
    </row>
    <row r="81" spans="1:15" x14ac:dyDescent="0.2">
      <c r="A81" s="202"/>
      <c r="B81" s="203" t="s">
        <v>88</v>
      </c>
      <c r="C81" s="207">
        <v>0</v>
      </c>
      <c r="D81" s="208">
        <v>0</v>
      </c>
      <c r="E81" s="208">
        <v>0</v>
      </c>
      <c r="F81" s="208">
        <v>0</v>
      </c>
      <c r="G81" s="208">
        <v>0</v>
      </c>
      <c r="H81" s="208">
        <v>0</v>
      </c>
      <c r="I81" s="208">
        <v>0</v>
      </c>
      <c r="J81" s="208">
        <v>0</v>
      </c>
      <c r="K81" s="208">
        <v>0</v>
      </c>
      <c r="L81" s="208">
        <v>0</v>
      </c>
      <c r="M81" s="208">
        <v>0</v>
      </c>
      <c r="N81" s="208">
        <v>0</v>
      </c>
      <c r="O81" s="209">
        <v>0</v>
      </c>
    </row>
    <row r="82" spans="1:15" x14ac:dyDescent="0.2">
      <c r="A82" s="192" t="s">
        <v>54</v>
      </c>
      <c r="B82" s="192" t="s">
        <v>69</v>
      </c>
      <c r="C82" s="199">
        <v>167.22671427087189</v>
      </c>
      <c r="D82" s="200">
        <v>136.82185713071337</v>
      </c>
      <c r="E82" s="200">
        <v>121.61942856063411</v>
      </c>
      <c r="F82" s="200">
        <v>152.02428570079263</v>
      </c>
      <c r="G82" s="200">
        <v>167.22671427087189</v>
      </c>
      <c r="H82" s="200">
        <v>167.22671427087189</v>
      </c>
      <c r="I82" s="200">
        <v>212.83399998110968</v>
      </c>
      <c r="J82" s="200">
        <v>167.22671427087189</v>
      </c>
      <c r="K82" s="200">
        <v>182.42914284095116</v>
      </c>
      <c r="L82" s="200">
        <v>197.63157141103042</v>
      </c>
      <c r="M82" s="200">
        <v>152.02428570079263</v>
      </c>
      <c r="N82" s="200">
        <v>106.41699999055484</v>
      </c>
      <c r="O82" s="201">
        <v>1930.7084284000662</v>
      </c>
    </row>
    <row r="83" spans="1:15" x14ac:dyDescent="0.2">
      <c r="A83" s="202"/>
      <c r="B83" s="203" t="s">
        <v>25</v>
      </c>
      <c r="C83" s="207">
        <v>12.324370526702211</v>
      </c>
      <c r="D83" s="208">
        <v>10.083575885483612</v>
      </c>
      <c r="E83" s="208">
        <v>8.9631785648743261</v>
      </c>
      <c r="F83" s="208">
        <v>11.203973206092911</v>
      </c>
      <c r="G83" s="208">
        <v>12.324370526702211</v>
      </c>
      <c r="H83" s="208">
        <v>12.324370526702211</v>
      </c>
      <c r="I83" s="208">
        <v>15.685562488530081</v>
      </c>
      <c r="J83" s="208">
        <v>12.324370526702211</v>
      </c>
      <c r="K83" s="208">
        <v>13.444767847311482</v>
      </c>
      <c r="L83" s="208">
        <v>14.565165167920782</v>
      </c>
      <c r="M83" s="208">
        <v>11.203973206092911</v>
      </c>
      <c r="N83" s="208">
        <v>7.8427812442650406</v>
      </c>
      <c r="O83" s="209">
        <v>142.29045971737997</v>
      </c>
    </row>
    <row r="84" spans="1:15" x14ac:dyDescent="0.2">
      <c r="A84" s="202"/>
      <c r="B84" s="203" t="s">
        <v>26</v>
      </c>
      <c r="C84" s="207">
        <v>0.88244299202657228</v>
      </c>
      <c r="D84" s="208">
        <v>0.72199881165810442</v>
      </c>
      <c r="E84" s="208">
        <v>0.64177672147387066</v>
      </c>
      <c r="F84" s="208">
        <v>0.8022209018423383</v>
      </c>
      <c r="G84" s="208">
        <v>0.88244299202657228</v>
      </c>
      <c r="H84" s="208">
        <v>0.88244299202657228</v>
      </c>
      <c r="I84" s="208">
        <v>1.1231092625792736</v>
      </c>
      <c r="J84" s="208">
        <v>0.88244299202657228</v>
      </c>
      <c r="K84" s="208">
        <v>0.96266508221080604</v>
      </c>
      <c r="L84" s="208">
        <v>1.0428871723950397</v>
      </c>
      <c r="M84" s="208">
        <v>0.8022209018423383</v>
      </c>
      <c r="N84" s="208">
        <v>0.56155463128963679</v>
      </c>
      <c r="O84" s="209">
        <v>10.188205453397694</v>
      </c>
    </row>
    <row r="85" spans="1:15" x14ac:dyDescent="0.2">
      <c r="A85" s="202"/>
      <c r="B85" s="203" t="s">
        <v>27</v>
      </c>
      <c r="C85" s="207">
        <v>13.206813518728783</v>
      </c>
      <c r="D85" s="208">
        <v>10.805574697141715</v>
      </c>
      <c r="E85" s="208">
        <v>9.6049552863481971</v>
      </c>
      <c r="F85" s="208">
        <v>12.006194107935249</v>
      </c>
      <c r="G85" s="208">
        <v>13.206813518728783</v>
      </c>
      <c r="H85" s="208">
        <v>13.206813518728783</v>
      </c>
      <c r="I85" s="208">
        <v>16.808671751109355</v>
      </c>
      <c r="J85" s="208">
        <v>13.206813518728783</v>
      </c>
      <c r="K85" s="208">
        <v>14.407432929522288</v>
      </c>
      <c r="L85" s="208">
        <v>15.608052340315821</v>
      </c>
      <c r="M85" s="208">
        <v>12.006194107935249</v>
      </c>
      <c r="N85" s="208">
        <v>8.4043358755546773</v>
      </c>
      <c r="O85" s="209">
        <v>152.47866517077765</v>
      </c>
    </row>
    <row r="86" spans="1:15" x14ac:dyDescent="0.2">
      <c r="A86" s="202"/>
      <c r="B86" s="203" t="s">
        <v>48</v>
      </c>
      <c r="C86" s="207">
        <v>154.90234374416968</v>
      </c>
      <c r="D86" s="208">
        <v>126.73828124522976</v>
      </c>
      <c r="E86" s="208">
        <v>112.65624999575978</v>
      </c>
      <c r="F86" s="208">
        <v>140.82031249469972</v>
      </c>
      <c r="G86" s="208">
        <v>154.90234374416968</v>
      </c>
      <c r="H86" s="208">
        <v>154.90234374416968</v>
      </c>
      <c r="I86" s="208">
        <v>197.1484374925796</v>
      </c>
      <c r="J86" s="208">
        <v>154.90234374416968</v>
      </c>
      <c r="K86" s="208">
        <v>168.98437499363968</v>
      </c>
      <c r="L86" s="208">
        <v>183.06640624310964</v>
      </c>
      <c r="M86" s="208">
        <v>140.82031249469972</v>
      </c>
      <c r="N86" s="208">
        <v>98.574218746289802</v>
      </c>
      <c r="O86" s="209">
        <v>1788.4179686826863</v>
      </c>
    </row>
    <row r="87" spans="1:15" x14ac:dyDescent="0.2">
      <c r="A87" s="202"/>
      <c r="B87" s="203" t="s">
        <v>86</v>
      </c>
      <c r="C87" s="207">
        <v>0</v>
      </c>
      <c r="D87" s="208">
        <v>0</v>
      </c>
      <c r="E87" s="208">
        <v>0</v>
      </c>
      <c r="F87" s="208">
        <v>0</v>
      </c>
      <c r="G87" s="208">
        <v>0</v>
      </c>
      <c r="H87" s="208">
        <v>0</v>
      </c>
      <c r="I87" s="208">
        <v>0</v>
      </c>
      <c r="J87" s="208">
        <v>0</v>
      </c>
      <c r="K87" s="208">
        <v>0</v>
      </c>
      <c r="L87" s="208">
        <v>0</v>
      </c>
      <c r="M87" s="208">
        <v>0</v>
      </c>
      <c r="N87" s="208">
        <v>0</v>
      </c>
      <c r="O87" s="209">
        <v>0</v>
      </c>
    </row>
    <row r="88" spans="1:15" x14ac:dyDescent="0.2">
      <c r="A88" s="202"/>
      <c r="B88" s="203" t="s">
        <v>88</v>
      </c>
      <c r="C88" s="207">
        <v>0</v>
      </c>
      <c r="D88" s="208">
        <v>0</v>
      </c>
      <c r="E88" s="208">
        <v>0</v>
      </c>
      <c r="F88" s="208">
        <v>0</v>
      </c>
      <c r="G88" s="208">
        <v>0</v>
      </c>
      <c r="H88" s="208">
        <v>0</v>
      </c>
      <c r="I88" s="208">
        <v>0</v>
      </c>
      <c r="J88" s="208">
        <v>0</v>
      </c>
      <c r="K88" s="208">
        <v>0</v>
      </c>
      <c r="L88" s="208">
        <v>0</v>
      </c>
      <c r="M88" s="208">
        <v>0</v>
      </c>
      <c r="N88" s="208">
        <v>0</v>
      </c>
      <c r="O88" s="209">
        <v>0</v>
      </c>
    </row>
    <row r="89" spans="1:15" x14ac:dyDescent="0.2">
      <c r="A89" s="192" t="s">
        <v>55</v>
      </c>
      <c r="B89" s="192" t="s">
        <v>69</v>
      </c>
      <c r="C89" s="199">
        <v>0</v>
      </c>
      <c r="D89" s="200">
        <v>0</v>
      </c>
      <c r="E89" s="200">
        <v>0</v>
      </c>
      <c r="F89" s="200">
        <v>0</v>
      </c>
      <c r="G89" s="200">
        <v>0</v>
      </c>
      <c r="H89" s="200">
        <v>0</v>
      </c>
      <c r="I89" s="200">
        <v>0</v>
      </c>
      <c r="J89" s="200">
        <v>0</v>
      </c>
      <c r="K89" s="200">
        <v>0</v>
      </c>
      <c r="L89" s="200">
        <v>0</v>
      </c>
      <c r="M89" s="200">
        <v>0</v>
      </c>
      <c r="N89" s="200">
        <v>0</v>
      </c>
      <c r="O89" s="201">
        <v>0</v>
      </c>
    </row>
    <row r="90" spans="1:15" x14ac:dyDescent="0.2">
      <c r="A90" s="202"/>
      <c r="B90" s="203" t="s">
        <v>25</v>
      </c>
      <c r="C90" s="207">
        <v>0</v>
      </c>
      <c r="D90" s="208">
        <v>0</v>
      </c>
      <c r="E90" s="208">
        <v>0</v>
      </c>
      <c r="F90" s="208">
        <v>0</v>
      </c>
      <c r="G90" s="208">
        <v>0</v>
      </c>
      <c r="H90" s="208">
        <v>0</v>
      </c>
      <c r="I90" s="208">
        <v>0</v>
      </c>
      <c r="J90" s="208">
        <v>0</v>
      </c>
      <c r="K90" s="208">
        <v>0</v>
      </c>
      <c r="L90" s="208">
        <v>0</v>
      </c>
      <c r="M90" s="208">
        <v>0</v>
      </c>
      <c r="N90" s="208">
        <v>0</v>
      </c>
      <c r="O90" s="209">
        <v>0</v>
      </c>
    </row>
    <row r="91" spans="1:15" x14ac:dyDescent="0.2">
      <c r="A91" s="202"/>
      <c r="B91" s="203" t="s">
        <v>26</v>
      </c>
      <c r="C91" s="207">
        <v>0</v>
      </c>
      <c r="D91" s="208">
        <v>0</v>
      </c>
      <c r="E91" s="208">
        <v>0</v>
      </c>
      <c r="F91" s="208">
        <v>0</v>
      </c>
      <c r="G91" s="208">
        <v>0</v>
      </c>
      <c r="H91" s="208">
        <v>0</v>
      </c>
      <c r="I91" s="208">
        <v>0</v>
      </c>
      <c r="J91" s="208">
        <v>0</v>
      </c>
      <c r="K91" s="208">
        <v>0</v>
      </c>
      <c r="L91" s="208">
        <v>0</v>
      </c>
      <c r="M91" s="208">
        <v>0</v>
      </c>
      <c r="N91" s="208">
        <v>0</v>
      </c>
      <c r="O91" s="209">
        <v>0</v>
      </c>
    </row>
    <row r="92" spans="1:15" x14ac:dyDescent="0.2">
      <c r="A92" s="202"/>
      <c r="B92" s="203" t="s">
        <v>27</v>
      </c>
      <c r="C92" s="207">
        <v>0</v>
      </c>
      <c r="D92" s="208">
        <v>0</v>
      </c>
      <c r="E92" s="208">
        <v>0</v>
      </c>
      <c r="F92" s="208">
        <v>0</v>
      </c>
      <c r="G92" s="208">
        <v>0</v>
      </c>
      <c r="H92" s="208">
        <v>0</v>
      </c>
      <c r="I92" s="208">
        <v>0</v>
      </c>
      <c r="J92" s="208">
        <v>0</v>
      </c>
      <c r="K92" s="208">
        <v>0</v>
      </c>
      <c r="L92" s="208">
        <v>0</v>
      </c>
      <c r="M92" s="208">
        <v>0</v>
      </c>
      <c r="N92" s="208">
        <v>0</v>
      </c>
      <c r="O92" s="209">
        <v>0</v>
      </c>
    </row>
    <row r="93" spans="1:15" x14ac:dyDescent="0.2">
      <c r="A93" s="202"/>
      <c r="B93" s="203" t="s">
        <v>48</v>
      </c>
      <c r="C93" s="207">
        <v>0</v>
      </c>
      <c r="D93" s="208">
        <v>0</v>
      </c>
      <c r="E93" s="208">
        <v>0</v>
      </c>
      <c r="F93" s="208">
        <v>0</v>
      </c>
      <c r="G93" s="208">
        <v>0</v>
      </c>
      <c r="H93" s="208">
        <v>0</v>
      </c>
      <c r="I93" s="208">
        <v>0</v>
      </c>
      <c r="J93" s="208">
        <v>0</v>
      </c>
      <c r="K93" s="208">
        <v>0</v>
      </c>
      <c r="L93" s="208">
        <v>0</v>
      </c>
      <c r="M93" s="208">
        <v>0</v>
      </c>
      <c r="N93" s="208">
        <v>0</v>
      </c>
      <c r="O93" s="209">
        <v>0</v>
      </c>
    </row>
    <row r="94" spans="1:15" x14ac:dyDescent="0.2">
      <c r="A94" s="202"/>
      <c r="B94" s="203" t="s">
        <v>86</v>
      </c>
      <c r="C94" s="207">
        <v>0</v>
      </c>
      <c r="D94" s="208">
        <v>0</v>
      </c>
      <c r="E94" s="208">
        <v>0</v>
      </c>
      <c r="F94" s="208">
        <v>0</v>
      </c>
      <c r="G94" s="208">
        <v>0</v>
      </c>
      <c r="H94" s="208">
        <v>0</v>
      </c>
      <c r="I94" s="208">
        <v>0</v>
      </c>
      <c r="J94" s="208">
        <v>0</v>
      </c>
      <c r="K94" s="208">
        <v>0</v>
      </c>
      <c r="L94" s="208">
        <v>0</v>
      </c>
      <c r="M94" s="208">
        <v>0</v>
      </c>
      <c r="N94" s="208">
        <v>0</v>
      </c>
      <c r="O94" s="209">
        <v>0</v>
      </c>
    </row>
    <row r="95" spans="1:15" x14ac:dyDescent="0.2">
      <c r="A95" s="202"/>
      <c r="B95" s="203" t="s">
        <v>88</v>
      </c>
      <c r="C95" s="207">
        <v>0</v>
      </c>
      <c r="D95" s="208">
        <v>0</v>
      </c>
      <c r="E95" s="208">
        <v>0</v>
      </c>
      <c r="F95" s="208">
        <v>0</v>
      </c>
      <c r="G95" s="208">
        <v>0</v>
      </c>
      <c r="H95" s="208">
        <v>0</v>
      </c>
      <c r="I95" s="208">
        <v>0</v>
      </c>
      <c r="J95" s="208">
        <v>0</v>
      </c>
      <c r="K95" s="208">
        <v>0</v>
      </c>
      <c r="L95" s="208">
        <v>0</v>
      </c>
      <c r="M95" s="208">
        <v>0</v>
      </c>
      <c r="N95" s="208">
        <v>0</v>
      </c>
      <c r="O95" s="209">
        <v>0</v>
      </c>
    </row>
    <row r="96" spans="1:15" x14ac:dyDescent="0.2">
      <c r="A96" s="192" t="s">
        <v>56</v>
      </c>
      <c r="B96" s="192" t="s">
        <v>69</v>
      </c>
      <c r="C96" s="199">
        <v>562.48985709293277</v>
      </c>
      <c r="D96" s="200">
        <v>638.50199994332911</v>
      </c>
      <c r="E96" s="200">
        <v>456.0728571023779</v>
      </c>
      <c r="F96" s="200">
        <v>486.47771424253642</v>
      </c>
      <c r="G96" s="200">
        <v>592.89471423309124</v>
      </c>
      <c r="H96" s="200">
        <v>714.51414279372534</v>
      </c>
      <c r="I96" s="200">
        <v>805.72871421420098</v>
      </c>
      <c r="J96" s="200">
        <v>790.52628564412169</v>
      </c>
      <c r="K96" s="200">
        <v>684.10928565356687</v>
      </c>
      <c r="L96" s="200">
        <v>623.29957137324982</v>
      </c>
      <c r="M96" s="200">
        <v>440.87042853229866</v>
      </c>
      <c r="N96" s="200">
        <v>547.28742852285347</v>
      </c>
      <c r="O96" s="201">
        <v>7342.7729993482844</v>
      </c>
    </row>
    <row r="97" spans="1:15" x14ac:dyDescent="0.2">
      <c r="A97" s="202"/>
      <c r="B97" s="203" t="s">
        <v>25</v>
      </c>
      <c r="C97" s="207">
        <v>41.454700862543746</v>
      </c>
      <c r="D97" s="208">
        <v>47.056687465590244</v>
      </c>
      <c r="E97" s="208">
        <v>33.611919618278705</v>
      </c>
      <c r="F97" s="208">
        <v>35.852714259497304</v>
      </c>
      <c r="G97" s="208">
        <v>43.695495503762345</v>
      </c>
      <c r="H97" s="208">
        <v>52.658674068636628</v>
      </c>
      <c r="I97" s="208">
        <v>59.381057992292426</v>
      </c>
      <c r="J97" s="208">
        <v>58.260660671683127</v>
      </c>
      <c r="K97" s="208">
        <v>50.417879427418143</v>
      </c>
      <c r="L97" s="208">
        <v>45.936290144980944</v>
      </c>
      <c r="M97" s="208">
        <v>32.491522297669462</v>
      </c>
      <c r="N97" s="208">
        <v>40.334303541934446</v>
      </c>
      <c r="O97" s="209">
        <v>541.15190585428752</v>
      </c>
    </row>
    <row r="98" spans="1:15" x14ac:dyDescent="0.2">
      <c r="A98" s="202"/>
      <c r="B98" s="203" t="s">
        <v>26</v>
      </c>
      <c r="C98" s="207">
        <v>2.968217336816652</v>
      </c>
      <c r="D98" s="208">
        <v>3.3693277877378209</v>
      </c>
      <c r="E98" s="208">
        <v>2.4066627055270149</v>
      </c>
      <c r="F98" s="208">
        <v>2.5671068858954826</v>
      </c>
      <c r="G98" s="208">
        <v>3.1286615171851198</v>
      </c>
      <c r="H98" s="208">
        <v>3.7704382386589903</v>
      </c>
      <c r="I98" s="208">
        <v>4.2517707797643931</v>
      </c>
      <c r="J98" s="208">
        <v>4.1715486895801588</v>
      </c>
      <c r="K98" s="208">
        <v>3.6099940582905226</v>
      </c>
      <c r="L98" s="208">
        <v>3.2891056975535871</v>
      </c>
      <c r="M98" s="208">
        <v>2.3264406153427815</v>
      </c>
      <c r="N98" s="208">
        <v>2.8879952466324177</v>
      </c>
      <c r="O98" s="209">
        <v>38.747269558984939</v>
      </c>
    </row>
    <row r="99" spans="1:15" x14ac:dyDescent="0.2">
      <c r="A99" s="202"/>
      <c r="B99" s="203" t="s">
        <v>27</v>
      </c>
      <c r="C99" s="207">
        <v>44.422918199360396</v>
      </c>
      <c r="D99" s="208">
        <v>50.426015253328067</v>
      </c>
      <c r="E99" s="208">
        <v>36.018582323805717</v>
      </c>
      <c r="F99" s="208">
        <v>38.419821145392788</v>
      </c>
      <c r="G99" s="208">
        <v>46.824157020947467</v>
      </c>
      <c r="H99" s="208">
        <v>56.429112307295618</v>
      </c>
      <c r="I99" s="208">
        <v>63.632828772056818</v>
      </c>
      <c r="J99" s="208">
        <v>62.432209361263283</v>
      </c>
      <c r="K99" s="208">
        <v>54.027873485708668</v>
      </c>
      <c r="L99" s="208">
        <v>49.225395842534532</v>
      </c>
      <c r="M99" s="208">
        <v>34.817962913012245</v>
      </c>
      <c r="N99" s="208">
        <v>43.22229878856686</v>
      </c>
      <c r="O99" s="209">
        <v>579.89917541327247</v>
      </c>
    </row>
    <row r="100" spans="1:15" x14ac:dyDescent="0.2">
      <c r="A100" s="202"/>
      <c r="B100" s="203" t="s">
        <v>48</v>
      </c>
      <c r="C100" s="207">
        <v>521.03515623038902</v>
      </c>
      <c r="D100" s="208">
        <v>591.44531247773887</v>
      </c>
      <c r="E100" s="208">
        <v>422.46093748409919</v>
      </c>
      <c r="F100" s="208">
        <v>450.62499998303912</v>
      </c>
      <c r="G100" s="208">
        <v>549.19921872932889</v>
      </c>
      <c r="H100" s="208">
        <v>661.85546872508871</v>
      </c>
      <c r="I100" s="208">
        <v>746.34765622190855</v>
      </c>
      <c r="J100" s="208">
        <v>732.26562497243856</v>
      </c>
      <c r="K100" s="208">
        <v>633.69140622614873</v>
      </c>
      <c r="L100" s="208">
        <v>577.36328122826887</v>
      </c>
      <c r="M100" s="208">
        <v>408.3789062346292</v>
      </c>
      <c r="N100" s="208">
        <v>506.95312498091903</v>
      </c>
      <c r="O100" s="209">
        <v>6801.6210934939963</v>
      </c>
    </row>
    <row r="101" spans="1:15" x14ac:dyDescent="0.2">
      <c r="A101" s="202"/>
      <c r="B101" s="203" t="s">
        <v>86</v>
      </c>
      <c r="C101" s="207">
        <v>0</v>
      </c>
      <c r="D101" s="208">
        <v>0</v>
      </c>
      <c r="E101" s="208">
        <v>0</v>
      </c>
      <c r="F101" s="208">
        <v>0</v>
      </c>
      <c r="G101" s="208">
        <v>0</v>
      </c>
      <c r="H101" s="208">
        <v>0</v>
      </c>
      <c r="I101" s="208">
        <v>0</v>
      </c>
      <c r="J101" s="208">
        <v>0</v>
      </c>
      <c r="K101" s="208">
        <v>0</v>
      </c>
      <c r="L101" s="208">
        <v>0</v>
      </c>
      <c r="M101" s="208">
        <v>0</v>
      </c>
      <c r="N101" s="208">
        <v>0</v>
      </c>
      <c r="O101" s="209">
        <v>0</v>
      </c>
    </row>
    <row r="102" spans="1:15" x14ac:dyDescent="0.2">
      <c r="A102" s="202"/>
      <c r="B102" s="203" t="s">
        <v>88</v>
      </c>
      <c r="C102" s="207">
        <v>0</v>
      </c>
      <c r="D102" s="208">
        <v>0</v>
      </c>
      <c r="E102" s="208">
        <v>0</v>
      </c>
      <c r="F102" s="208">
        <v>0</v>
      </c>
      <c r="G102" s="208">
        <v>0</v>
      </c>
      <c r="H102" s="208">
        <v>0</v>
      </c>
      <c r="I102" s="208">
        <v>0</v>
      </c>
      <c r="J102" s="208">
        <v>0</v>
      </c>
      <c r="K102" s="208">
        <v>0</v>
      </c>
      <c r="L102" s="208">
        <v>0</v>
      </c>
      <c r="M102" s="208">
        <v>0</v>
      </c>
      <c r="N102" s="208">
        <v>0</v>
      </c>
      <c r="O102" s="209">
        <v>0</v>
      </c>
    </row>
    <row r="103" spans="1:15" x14ac:dyDescent="0.2">
      <c r="A103" s="192" t="s">
        <v>80</v>
      </c>
      <c r="B103" s="192" t="s">
        <v>69</v>
      </c>
      <c r="C103" s="199">
        <v>3207.7124282867244</v>
      </c>
      <c r="D103" s="200">
        <v>3040.4857140158529</v>
      </c>
      <c r="E103" s="200">
        <v>1854.6962855496702</v>
      </c>
      <c r="F103" s="200">
        <v>1657.0647141386396</v>
      </c>
      <c r="G103" s="200">
        <v>1550.6477141480848</v>
      </c>
      <c r="H103" s="200">
        <v>1991.5181426803836</v>
      </c>
      <c r="I103" s="200">
        <v>2219.5545712315725</v>
      </c>
      <c r="J103" s="200">
        <v>2265.1618569418101</v>
      </c>
      <c r="K103" s="200">
        <v>1854.6962855496702</v>
      </c>
      <c r="L103" s="200">
        <v>1778.6841426992737</v>
      </c>
      <c r="M103" s="200">
        <v>1793.886571269353</v>
      </c>
      <c r="N103" s="200">
        <v>2706.0322854741089</v>
      </c>
      <c r="O103" s="201">
        <v>25920.140711985143</v>
      </c>
    </row>
    <row r="104" spans="1:15" x14ac:dyDescent="0.2">
      <c r="A104" s="202"/>
      <c r="B104" s="203" t="s">
        <v>25</v>
      </c>
      <c r="C104" s="207">
        <v>236.40383464856041</v>
      </c>
      <c r="D104" s="208">
        <v>224.07946412185856</v>
      </c>
      <c r="E104" s="208">
        <v>136.68847311433342</v>
      </c>
      <c r="F104" s="208">
        <v>122.12330794641252</v>
      </c>
      <c r="G104" s="208">
        <v>114.28052670214765</v>
      </c>
      <c r="H104" s="208">
        <v>146.77204899981712</v>
      </c>
      <c r="I104" s="208">
        <v>163.57800880895638</v>
      </c>
      <c r="J104" s="208">
        <v>166.93920077078428</v>
      </c>
      <c r="K104" s="208">
        <v>136.68847311433342</v>
      </c>
      <c r="L104" s="208">
        <v>131.08648651128692</v>
      </c>
      <c r="M104" s="208">
        <v>132.20688383189622</v>
      </c>
      <c r="N104" s="208">
        <v>199.43072306845397</v>
      </c>
      <c r="O104" s="209">
        <v>1910.2774316388409</v>
      </c>
    </row>
    <row r="105" spans="1:15" x14ac:dyDescent="0.2">
      <c r="A105" s="202"/>
      <c r="B105" s="203" t="s">
        <v>26</v>
      </c>
      <c r="C105" s="207">
        <v>16.92686102887334</v>
      </c>
      <c r="D105" s="208">
        <v>16.044418036846768</v>
      </c>
      <c r="E105" s="208">
        <v>9.7870950024765282</v>
      </c>
      <c r="F105" s="208">
        <v>8.7442078300814892</v>
      </c>
      <c r="G105" s="208">
        <v>8.1826531987918507</v>
      </c>
      <c r="H105" s="208">
        <v>10.509093814134632</v>
      </c>
      <c r="I105" s="208">
        <v>11.712425166898139</v>
      </c>
      <c r="J105" s="208">
        <v>11.953091437450842</v>
      </c>
      <c r="K105" s="208">
        <v>9.7870950024765282</v>
      </c>
      <c r="L105" s="208">
        <v>9.3859845515553584</v>
      </c>
      <c r="M105" s="208">
        <v>9.4662066417395927</v>
      </c>
      <c r="N105" s="208">
        <v>14.279532052793622</v>
      </c>
      <c r="O105" s="209">
        <v>136.77866376411868</v>
      </c>
    </row>
    <row r="106" spans="1:15" x14ac:dyDescent="0.2">
      <c r="A106" s="202"/>
      <c r="B106" s="203" t="s">
        <v>27</v>
      </c>
      <c r="C106" s="207">
        <v>253.33069567743374</v>
      </c>
      <c r="D106" s="208">
        <v>240.12388215870533</v>
      </c>
      <c r="E106" s="208">
        <v>146.47556811680994</v>
      </c>
      <c r="F106" s="208">
        <v>130.867515776494</v>
      </c>
      <c r="G106" s="208">
        <v>122.46317990093951</v>
      </c>
      <c r="H106" s="208">
        <v>157.28114281395176</v>
      </c>
      <c r="I106" s="208">
        <v>175.29043397585451</v>
      </c>
      <c r="J106" s="208">
        <v>178.89229220823512</v>
      </c>
      <c r="K106" s="208">
        <v>146.47556811680994</v>
      </c>
      <c r="L106" s="208">
        <v>140.47247106284229</v>
      </c>
      <c r="M106" s="208">
        <v>141.67309047363582</v>
      </c>
      <c r="N106" s="208">
        <v>213.7102551212476</v>
      </c>
      <c r="O106" s="209">
        <v>2047.0560954029595</v>
      </c>
    </row>
    <row r="107" spans="1:15" x14ac:dyDescent="0.2">
      <c r="A107" s="202"/>
      <c r="B107" s="203" t="s">
        <v>48</v>
      </c>
      <c r="C107" s="207">
        <v>2971.308593638164</v>
      </c>
      <c r="D107" s="208">
        <v>2816.4062498939943</v>
      </c>
      <c r="E107" s="208">
        <v>1718.0078124353367</v>
      </c>
      <c r="F107" s="208">
        <v>1534.9414061922271</v>
      </c>
      <c r="G107" s="208">
        <v>1436.3671874459371</v>
      </c>
      <c r="H107" s="208">
        <v>1844.7460936805664</v>
      </c>
      <c r="I107" s="208">
        <v>2055.9765624226161</v>
      </c>
      <c r="J107" s="208">
        <v>2098.2226561710258</v>
      </c>
      <c r="K107" s="208">
        <v>1718.0078124353367</v>
      </c>
      <c r="L107" s="208">
        <v>1647.5976561879868</v>
      </c>
      <c r="M107" s="208">
        <v>1661.6796874374568</v>
      </c>
      <c r="N107" s="208">
        <v>2506.6015624056549</v>
      </c>
      <c r="O107" s="209">
        <v>24009.863280346308</v>
      </c>
    </row>
    <row r="108" spans="1:15" x14ac:dyDescent="0.2">
      <c r="A108" s="202"/>
      <c r="B108" s="203" t="s">
        <v>86</v>
      </c>
      <c r="C108" s="207">
        <v>0</v>
      </c>
      <c r="D108" s="208">
        <v>0</v>
      </c>
      <c r="E108" s="208">
        <v>0</v>
      </c>
      <c r="F108" s="208">
        <v>0</v>
      </c>
      <c r="G108" s="208">
        <v>0</v>
      </c>
      <c r="H108" s="208">
        <v>0</v>
      </c>
      <c r="I108" s="208">
        <v>0</v>
      </c>
      <c r="J108" s="208">
        <v>0</v>
      </c>
      <c r="K108" s="208">
        <v>0</v>
      </c>
      <c r="L108" s="208">
        <v>0</v>
      </c>
      <c r="M108" s="208">
        <v>0</v>
      </c>
      <c r="N108" s="208">
        <v>0</v>
      </c>
      <c r="O108" s="209">
        <v>0</v>
      </c>
    </row>
    <row r="109" spans="1:15" x14ac:dyDescent="0.2">
      <c r="A109" s="202"/>
      <c r="B109" s="203" t="s">
        <v>88</v>
      </c>
      <c r="C109" s="207">
        <v>0</v>
      </c>
      <c r="D109" s="208">
        <v>0</v>
      </c>
      <c r="E109" s="208">
        <v>0</v>
      </c>
      <c r="F109" s="208">
        <v>0</v>
      </c>
      <c r="G109" s="208">
        <v>0</v>
      </c>
      <c r="H109" s="208">
        <v>0</v>
      </c>
      <c r="I109" s="208">
        <v>0</v>
      </c>
      <c r="J109" s="208">
        <v>0</v>
      </c>
      <c r="K109" s="208">
        <v>0</v>
      </c>
      <c r="L109" s="208">
        <v>0</v>
      </c>
      <c r="M109" s="208">
        <v>0</v>
      </c>
      <c r="N109" s="208">
        <v>0</v>
      </c>
      <c r="O109" s="209">
        <v>0</v>
      </c>
    </row>
    <row r="110" spans="1:15" x14ac:dyDescent="0.2">
      <c r="A110" s="192" t="s">
        <v>82</v>
      </c>
      <c r="B110" s="192" t="s">
        <v>69</v>
      </c>
      <c r="C110" s="199">
        <v>714.51414279372534</v>
      </c>
      <c r="D110" s="200">
        <v>866.53842849451803</v>
      </c>
      <c r="E110" s="200">
        <v>516.88257138269501</v>
      </c>
      <c r="F110" s="200">
        <v>410.46557139214008</v>
      </c>
      <c r="G110" s="200">
        <v>608.09714280317053</v>
      </c>
      <c r="H110" s="200">
        <v>699.31171422364605</v>
      </c>
      <c r="I110" s="200">
        <v>836.13357135435945</v>
      </c>
      <c r="J110" s="200">
        <v>836.13357135435945</v>
      </c>
      <c r="K110" s="200">
        <v>668.90685708348758</v>
      </c>
      <c r="L110" s="200">
        <v>516.88257138269501</v>
      </c>
      <c r="M110" s="200">
        <v>532.08499995277418</v>
      </c>
      <c r="N110" s="200">
        <v>592.89471423309124</v>
      </c>
      <c r="O110" s="201">
        <v>7798.8458564506618</v>
      </c>
    </row>
    <row r="111" spans="1:15" x14ac:dyDescent="0.2">
      <c r="A111" s="202"/>
      <c r="B111" s="203" t="s">
        <v>25</v>
      </c>
      <c r="C111" s="207">
        <v>52.658674068636628</v>
      </c>
      <c r="D111" s="208">
        <v>63.862647274729625</v>
      </c>
      <c r="E111" s="208">
        <v>38.09350890071596</v>
      </c>
      <c r="F111" s="208">
        <v>30.250727656450806</v>
      </c>
      <c r="G111" s="208">
        <v>44.815892824371645</v>
      </c>
      <c r="H111" s="208">
        <v>51.538276748027329</v>
      </c>
      <c r="I111" s="208">
        <v>61.621852633510912</v>
      </c>
      <c r="J111" s="208">
        <v>61.621852633510912</v>
      </c>
      <c r="K111" s="208">
        <v>49.297482106808843</v>
      </c>
      <c r="L111" s="208">
        <v>38.09350890071596</v>
      </c>
      <c r="M111" s="208">
        <v>39.213906221325146</v>
      </c>
      <c r="N111" s="208">
        <v>43.695495503762345</v>
      </c>
      <c r="O111" s="209">
        <v>574.76382547256605</v>
      </c>
    </row>
    <row r="112" spans="1:15" x14ac:dyDescent="0.2">
      <c r="A112" s="202"/>
      <c r="B112" s="203" t="s">
        <v>26</v>
      </c>
      <c r="C112" s="207">
        <v>3.7704382386589903</v>
      </c>
      <c r="D112" s="208">
        <v>4.5726591405013286</v>
      </c>
      <c r="E112" s="208">
        <v>2.7275510662639504</v>
      </c>
      <c r="F112" s="208">
        <v>2.1659964349743137</v>
      </c>
      <c r="G112" s="208">
        <v>3.2088836073693532</v>
      </c>
      <c r="H112" s="208">
        <v>3.6902161484747564</v>
      </c>
      <c r="I112" s="208">
        <v>4.4122149601328617</v>
      </c>
      <c r="J112" s="208">
        <v>4.4122149601328617</v>
      </c>
      <c r="K112" s="208">
        <v>3.5297719681062891</v>
      </c>
      <c r="L112" s="208">
        <v>2.7275510662639504</v>
      </c>
      <c r="M112" s="208">
        <v>2.8077731564481843</v>
      </c>
      <c r="N112" s="208">
        <v>3.1286615171851198</v>
      </c>
      <c r="O112" s="209">
        <v>41.153932264511965</v>
      </c>
    </row>
    <row r="113" spans="1:15" x14ac:dyDescent="0.2">
      <c r="A113" s="202"/>
      <c r="B113" s="203" t="s">
        <v>27</v>
      </c>
      <c r="C113" s="207">
        <v>56.429112307295618</v>
      </c>
      <c r="D113" s="208">
        <v>68.435306415230954</v>
      </c>
      <c r="E113" s="208">
        <v>40.821059966979909</v>
      </c>
      <c r="F113" s="208">
        <v>32.416724091425117</v>
      </c>
      <c r="G113" s="208">
        <v>48.024776431740996</v>
      </c>
      <c r="H113" s="208">
        <v>55.228492896502082</v>
      </c>
      <c r="I113" s="208">
        <v>66.034067593643769</v>
      </c>
      <c r="J113" s="208">
        <v>66.034067593643769</v>
      </c>
      <c r="K113" s="208">
        <v>52.827254074915132</v>
      </c>
      <c r="L113" s="208">
        <v>40.821059966979909</v>
      </c>
      <c r="M113" s="208">
        <v>42.021679377773332</v>
      </c>
      <c r="N113" s="208">
        <v>46.824157020947467</v>
      </c>
      <c r="O113" s="209">
        <v>615.91775773707809</v>
      </c>
    </row>
    <row r="114" spans="1:15" x14ac:dyDescent="0.2">
      <c r="A114" s="202"/>
      <c r="B114" s="203" t="s">
        <v>48</v>
      </c>
      <c r="C114" s="207">
        <v>661.85546872508871</v>
      </c>
      <c r="D114" s="208">
        <v>802.6757812197884</v>
      </c>
      <c r="E114" s="208">
        <v>478.78906248197904</v>
      </c>
      <c r="F114" s="208">
        <v>380.21484373568927</v>
      </c>
      <c r="G114" s="208">
        <v>563.28124997879888</v>
      </c>
      <c r="H114" s="208">
        <v>647.77343747561872</v>
      </c>
      <c r="I114" s="208">
        <v>774.51171872084853</v>
      </c>
      <c r="J114" s="208">
        <v>774.51171872084853</v>
      </c>
      <c r="K114" s="208">
        <v>619.60937497667874</v>
      </c>
      <c r="L114" s="208">
        <v>478.78906248197904</v>
      </c>
      <c r="M114" s="208">
        <v>492.87109373144904</v>
      </c>
      <c r="N114" s="208">
        <v>549.19921872932889</v>
      </c>
      <c r="O114" s="209">
        <v>7224.0820309780966</v>
      </c>
    </row>
    <row r="115" spans="1:15" x14ac:dyDescent="0.2">
      <c r="A115" s="202"/>
      <c r="B115" s="203" t="s">
        <v>86</v>
      </c>
      <c r="C115" s="207">
        <v>0</v>
      </c>
      <c r="D115" s="208">
        <v>0</v>
      </c>
      <c r="E115" s="208">
        <v>0</v>
      </c>
      <c r="F115" s="208">
        <v>0</v>
      </c>
      <c r="G115" s="208">
        <v>0</v>
      </c>
      <c r="H115" s="208">
        <v>0</v>
      </c>
      <c r="I115" s="208">
        <v>0</v>
      </c>
      <c r="J115" s="208">
        <v>0</v>
      </c>
      <c r="K115" s="208">
        <v>0</v>
      </c>
      <c r="L115" s="208">
        <v>0</v>
      </c>
      <c r="M115" s="208">
        <v>0</v>
      </c>
      <c r="N115" s="208">
        <v>0</v>
      </c>
      <c r="O115" s="209">
        <v>0</v>
      </c>
    </row>
    <row r="116" spans="1:15" x14ac:dyDescent="0.2">
      <c r="A116" s="202"/>
      <c r="B116" s="203" t="s">
        <v>88</v>
      </c>
      <c r="C116" s="207">
        <v>0</v>
      </c>
      <c r="D116" s="208">
        <v>0</v>
      </c>
      <c r="E116" s="208">
        <v>0</v>
      </c>
      <c r="F116" s="208">
        <v>0</v>
      </c>
      <c r="G116" s="208">
        <v>0</v>
      </c>
      <c r="H116" s="208">
        <v>0</v>
      </c>
      <c r="I116" s="208">
        <v>0</v>
      </c>
      <c r="J116" s="208">
        <v>0</v>
      </c>
      <c r="K116" s="208">
        <v>0</v>
      </c>
      <c r="L116" s="208">
        <v>0</v>
      </c>
      <c r="M116" s="208">
        <v>0</v>
      </c>
      <c r="N116" s="208">
        <v>0</v>
      </c>
      <c r="O116" s="209">
        <v>0</v>
      </c>
    </row>
    <row r="117" spans="1:15" x14ac:dyDescent="0.2">
      <c r="A117" s="192" t="s">
        <v>70</v>
      </c>
      <c r="B117" s="193"/>
      <c r="C117" s="199">
        <v>143206.87713014666</v>
      </c>
      <c r="D117" s="200">
        <v>149439.87284387919</v>
      </c>
      <c r="E117" s="200">
        <v>106477.80970483516</v>
      </c>
      <c r="F117" s="200">
        <v>106158.55870486351</v>
      </c>
      <c r="G117" s="200">
        <v>130178.39584558873</v>
      </c>
      <c r="H117" s="200">
        <v>147980.43970115154</v>
      </c>
      <c r="I117" s="200">
        <v>162027.48369990475</v>
      </c>
      <c r="J117" s="200">
        <v>163061.24884267015</v>
      </c>
      <c r="K117" s="200">
        <v>141291.37113031669</v>
      </c>
      <c r="L117" s="200">
        <v>128566.93841716033</v>
      </c>
      <c r="M117" s="200">
        <v>103026.85841942718</v>
      </c>
      <c r="N117" s="200">
        <v>128110.86556005795</v>
      </c>
      <c r="O117" s="201">
        <v>1609526.7200000021</v>
      </c>
    </row>
    <row r="118" spans="1:15" x14ac:dyDescent="0.2">
      <c r="A118" s="192" t="s">
        <v>28</v>
      </c>
      <c r="B118" s="193"/>
      <c r="C118" s="210">
        <v>10554.142760139515</v>
      </c>
      <c r="D118" s="211">
        <v>11013.505661589326</v>
      </c>
      <c r="E118" s="211">
        <v>7847.2628335474792</v>
      </c>
      <c r="F118" s="211">
        <v>7823.7344898146848</v>
      </c>
      <c r="G118" s="211">
        <v>9593.9622563773519</v>
      </c>
      <c r="H118" s="211">
        <v>10905.947518810839</v>
      </c>
      <c r="I118" s="211">
        <v>11941.194643053816</v>
      </c>
      <c r="J118" s="211">
        <v>12017.381660855255</v>
      </c>
      <c r="K118" s="211">
        <v>10412.97269774274</v>
      </c>
      <c r="L118" s="211">
        <v>9475.2001403927679</v>
      </c>
      <c r="M118" s="211">
        <v>7592.9326417691627</v>
      </c>
      <c r="N118" s="211">
        <v>9441.5882207744944</v>
      </c>
      <c r="O118" s="212">
        <v>118619.82552486744</v>
      </c>
    </row>
    <row r="119" spans="1:15" x14ac:dyDescent="0.2">
      <c r="A119" s="192" t="s">
        <v>29</v>
      </c>
      <c r="B119" s="193"/>
      <c r="C119" s="210">
        <v>755.69208953548275</v>
      </c>
      <c r="D119" s="211">
        <v>788.58314651101853</v>
      </c>
      <c r="E119" s="211">
        <v>561.8755196503738</v>
      </c>
      <c r="F119" s="211">
        <v>560.1908557565049</v>
      </c>
      <c r="G119" s="211">
        <v>686.94175824759429</v>
      </c>
      <c r="H119" s="211">
        <v>780.8818258533322</v>
      </c>
      <c r="I119" s="211">
        <v>855.00703718356419</v>
      </c>
      <c r="J119" s="211">
        <v>860.46213931609213</v>
      </c>
      <c r="K119" s="211">
        <v>745.58410617226934</v>
      </c>
      <c r="L119" s="211">
        <v>678.43821668806549</v>
      </c>
      <c r="M119" s="211">
        <v>543.66510517855284</v>
      </c>
      <c r="N119" s="211">
        <v>676.03155398253841</v>
      </c>
      <c r="O119" s="212">
        <v>8493.353354075387</v>
      </c>
    </row>
    <row r="120" spans="1:15" x14ac:dyDescent="0.2">
      <c r="A120" s="192" t="s">
        <v>30</v>
      </c>
      <c r="B120" s="193"/>
      <c r="C120" s="210">
        <v>11309.834849675</v>
      </c>
      <c r="D120" s="211">
        <v>11802.088808100347</v>
      </c>
      <c r="E120" s="211">
        <v>8409.1383531978518</v>
      </c>
      <c r="F120" s="211">
        <v>8383.9253455711878</v>
      </c>
      <c r="G120" s="211">
        <v>10280.904014624946</v>
      </c>
      <c r="H120" s="211">
        <v>11686.829344664173</v>
      </c>
      <c r="I120" s="211">
        <v>12796.201680237378</v>
      </c>
      <c r="J120" s="211">
        <v>12877.843800171346</v>
      </c>
      <c r="K120" s="211">
        <v>11158.556803915008</v>
      </c>
      <c r="L120" s="211">
        <v>10153.638357080838</v>
      </c>
      <c r="M120" s="211">
        <v>8136.5977469477148</v>
      </c>
      <c r="N120" s="211">
        <v>10117.619774757033</v>
      </c>
      <c r="O120" s="212">
        <v>127113.17887894284</v>
      </c>
    </row>
    <row r="121" spans="1:15" x14ac:dyDescent="0.2">
      <c r="A121" s="192" t="s">
        <v>60</v>
      </c>
      <c r="B121" s="193"/>
      <c r="C121" s="199">
        <v>132652.73437000712</v>
      </c>
      <c r="D121" s="200">
        <v>138426.36718228983</v>
      </c>
      <c r="E121" s="200">
        <v>98630.546871287675</v>
      </c>
      <c r="F121" s="200">
        <v>98334.824215048822</v>
      </c>
      <c r="G121" s="200">
        <v>120584.43358921139</v>
      </c>
      <c r="H121" s="200">
        <v>137074.49218234071</v>
      </c>
      <c r="I121" s="200">
        <v>150086.28905685095</v>
      </c>
      <c r="J121" s="200">
        <v>151043.86718181492</v>
      </c>
      <c r="K121" s="200">
        <v>130878.39843257393</v>
      </c>
      <c r="L121" s="200">
        <v>119091.73827676756</v>
      </c>
      <c r="M121" s="200">
        <v>95433.925777658005</v>
      </c>
      <c r="N121" s="200">
        <v>118669.27733928345</v>
      </c>
      <c r="O121" s="201">
        <v>1490906.8944751346</v>
      </c>
    </row>
    <row r="122" spans="1:15" x14ac:dyDescent="0.2">
      <c r="A122" s="192" t="s">
        <v>87</v>
      </c>
      <c r="B122" s="193"/>
      <c r="C122" s="199">
        <v>0</v>
      </c>
      <c r="D122" s="200">
        <v>0</v>
      </c>
      <c r="E122" s="200">
        <v>0</v>
      </c>
      <c r="F122" s="200">
        <v>0</v>
      </c>
      <c r="G122" s="200">
        <v>0</v>
      </c>
      <c r="H122" s="200">
        <v>0</v>
      </c>
      <c r="I122" s="200">
        <v>0</v>
      </c>
      <c r="J122" s="200">
        <v>0</v>
      </c>
      <c r="K122" s="200">
        <v>0</v>
      </c>
      <c r="L122" s="200">
        <v>0</v>
      </c>
      <c r="M122" s="200">
        <v>0</v>
      </c>
      <c r="N122" s="200">
        <v>0</v>
      </c>
      <c r="O122" s="201">
        <v>0</v>
      </c>
    </row>
    <row r="123" spans="1:15" x14ac:dyDescent="0.2">
      <c r="A123" s="213" t="s">
        <v>89</v>
      </c>
      <c r="B123" s="214"/>
      <c r="C123" s="215">
        <v>0</v>
      </c>
      <c r="D123" s="216">
        <v>0</v>
      </c>
      <c r="E123" s="216">
        <v>0</v>
      </c>
      <c r="F123" s="216">
        <v>0</v>
      </c>
      <c r="G123" s="216">
        <v>0</v>
      </c>
      <c r="H123" s="216">
        <v>0</v>
      </c>
      <c r="I123" s="216">
        <v>0</v>
      </c>
      <c r="J123" s="216">
        <v>0</v>
      </c>
      <c r="K123" s="216">
        <v>0</v>
      </c>
      <c r="L123" s="216">
        <v>0</v>
      </c>
      <c r="M123" s="216">
        <v>0</v>
      </c>
      <c r="N123" s="216">
        <v>0</v>
      </c>
      <c r="O123" s="217">
        <v>0</v>
      </c>
    </row>
  </sheetData>
  <phoneticPr fontId="6" type="noConversion"/>
  <pageMargins left="0.5" right="0.5" top="0.73" bottom="0.98" header="0.5" footer="0.5"/>
  <pageSetup scale="52" fitToHeight="0" orientation="landscape" horizontalDpi="1200" verticalDpi="1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20"/>
  <sheetViews>
    <sheetView showGridLines="0" zoomScale="80" zoomScaleNormal="80" zoomScaleSheetLayoutView="100" workbookViewId="0">
      <selection activeCell="M14" sqref="M14"/>
    </sheetView>
  </sheetViews>
  <sheetFormatPr defaultColWidth="8.7109375" defaultRowHeight="12.75" x14ac:dyDescent="0.2"/>
  <cols>
    <col min="1" max="1" width="0.5703125" customWidth="1"/>
    <col min="2" max="2" width="10.28515625" bestFit="1" customWidth="1"/>
    <col min="3" max="3" width="10.7109375" bestFit="1" customWidth="1"/>
    <col min="4" max="4" width="11" style="86" customWidth="1"/>
    <col min="5" max="5" width="24.28515625" customWidth="1"/>
    <col min="6" max="6" width="7.7109375" style="86" customWidth="1"/>
    <col min="7" max="7" width="7.42578125" style="86" customWidth="1"/>
    <col min="8" max="8" width="11.140625" style="86" bestFit="1" customWidth="1"/>
    <col min="9" max="9" width="11.28515625" style="45" customWidth="1"/>
    <col min="10" max="10" width="14.85546875" style="86" bestFit="1" customWidth="1"/>
    <col min="11" max="11" width="14.85546875" style="92" bestFit="1" customWidth="1"/>
    <col min="12" max="12" width="14.7109375" style="86" customWidth="1"/>
    <col min="13" max="13" width="13.42578125" style="86" bestFit="1" customWidth="1"/>
    <col min="14" max="15" width="13.42578125" style="86" customWidth="1"/>
    <col min="16" max="16" width="14.85546875" style="86" bestFit="1" customWidth="1"/>
    <col min="17" max="17" width="13.42578125" style="86" customWidth="1"/>
    <col min="18" max="18" width="15.5703125" style="178" customWidth="1"/>
  </cols>
  <sheetData>
    <row r="1" spans="2:18" ht="22.5" x14ac:dyDescent="0.2">
      <c r="B1" s="8" t="s">
        <v>94</v>
      </c>
      <c r="C1" s="76"/>
      <c r="D1" s="77"/>
      <c r="E1" s="76"/>
      <c r="F1" s="78" t="s">
        <v>12</v>
      </c>
      <c r="G1" s="79"/>
      <c r="H1" s="80"/>
      <c r="I1" s="81"/>
      <c r="J1" s="180" t="str">
        <f>"True-Up ARR
(CY"&amp;R1&amp;")"</f>
        <v>True-Up ARR
(CY2025)</v>
      </c>
      <c r="K1" s="180" t="str">
        <f>"Projected ARR
(Jan'"&amp;RIGHT(R$1,2)&amp;" - Dec'"&amp;RIGHT(R$1,2)&amp;")"</f>
        <v>Projected ARR
(Jan'25 - Dec'25)</v>
      </c>
      <c r="L1" s="82" t="s">
        <v>44</v>
      </c>
      <c r="M1" s="83"/>
      <c r="N1"/>
      <c r="O1"/>
      <c r="P1"/>
      <c r="Q1"/>
      <c r="R1" s="84">
        <v>2025</v>
      </c>
    </row>
    <row r="2" spans="2:18" x14ac:dyDescent="0.2">
      <c r="B2" s="8" t="s">
        <v>51</v>
      </c>
      <c r="C2" s="76"/>
      <c r="D2" s="77"/>
      <c r="E2" s="76"/>
      <c r="F2" s="85">
        <v>1</v>
      </c>
      <c r="G2" s="219"/>
      <c r="H2" s="219"/>
      <c r="I2" s="87" t="s">
        <v>6</v>
      </c>
      <c r="J2" s="88">
        <v>1609526.7200000018</v>
      </c>
      <c r="K2" s="88">
        <v>1458335.1561951104</v>
      </c>
      <c r="L2" s="186"/>
      <c r="M2" s="90"/>
      <c r="N2"/>
      <c r="O2"/>
      <c r="P2"/>
      <c r="Q2"/>
      <c r="R2"/>
    </row>
    <row r="3" spans="2:18" x14ac:dyDescent="0.2">
      <c r="B3" s="8" t="str">
        <f>"for CY"&amp;R1&amp;" SPP Network Transmission Service"</f>
        <v>for CY2025 SPP Network Transmission Service</v>
      </c>
      <c r="C3" s="76"/>
      <c r="D3" s="77"/>
      <c r="E3" s="76"/>
      <c r="F3" s="85"/>
      <c r="G3" s="219"/>
      <c r="H3" s="219"/>
      <c r="I3" s="87" t="s">
        <v>10</v>
      </c>
      <c r="J3" s="91">
        <v>15.202428570079263</v>
      </c>
      <c r="K3" s="91">
        <v>14.082031249469972</v>
      </c>
      <c r="L3" s="108" t="str">
        <f>"Inv. Jan-Dec'"&amp;RIGHT(R1,2)</f>
        <v>Inv. Jan-Dec'25</v>
      </c>
      <c r="M3" s="90"/>
      <c r="N3"/>
      <c r="O3"/>
      <c r="P3"/>
      <c r="Q3"/>
      <c r="R3"/>
    </row>
    <row r="4" spans="2:18" x14ac:dyDescent="0.2">
      <c r="B4" s="7"/>
      <c r="C4" s="76"/>
      <c r="D4" s="77"/>
      <c r="E4" s="76"/>
      <c r="F4" s="85"/>
      <c r="M4" s="93"/>
      <c r="R4"/>
    </row>
    <row r="5" spans="2:18" x14ac:dyDescent="0.2">
      <c r="B5" s="7"/>
      <c r="C5" s="76"/>
      <c r="D5" s="77"/>
      <c r="E5" s="76"/>
      <c r="F5" s="85"/>
      <c r="I5" s="87"/>
      <c r="K5" s="88">
        <v>0</v>
      </c>
      <c r="L5" s="89"/>
      <c r="M5" s="94"/>
      <c r="N5" s="95"/>
      <c r="O5" s="95"/>
      <c r="P5" s="95"/>
      <c r="Q5" s="95"/>
      <c r="R5" s="96"/>
    </row>
    <row r="6" spans="2:18" x14ac:dyDescent="0.2">
      <c r="B6" s="8" t="s">
        <v>23</v>
      </c>
      <c r="D6" s="77"/>
      <c r="E6" s="76"/>
      <c r="F6" s="97"/>
      <c r="G6" s="14"/>
      <c r="H6" s="98"/>
      <c r="I6" s="99"/>
      <c r="J6" s="100"/>
      <c r="K6" s="91">
        <v>0</v>
      </c>
      <c r="L6" s="108"/>
      <c r="M6" s="94"/>
      <c r="N6" s="95"/>
      <c r="O6" s="95"/>
      <c r="P6" s="95"/>
      <c r="Q6" s="95"/>
      <c r="R6"/>
    </row>
    <row r="7" spans="2:18" x14ac:dyDescent="0.2">
      <c r="B7" s="7" t="s">
        <v>76</v>
      </c>
      <c r="D7" s="77"/>
      <c r="E7" s="76"/>
      <c r="F7" s="85"/>
      <c r="G7" s="220"/>
      <c r="H7" s="219"/>
      <c r="I7" s="87"/>
      <c r="J7" s="101"/>
      <c r="K7" s="89"/>
      <c r="L7" s="89"/>
      <c r="M7" s="102"/>
      <c r="N7" s="103"/>
      <c r="O7" s="103"/>
      <c r="P7" s="103"/>
      <c r="Q7" s="103"/>
      <c r="R7"/>
    </row>
    <row r="8" spans="2:18" x14ac:dyDescent="0.2">
      <c r="B8" s="8"/>
      <c r="C8" s="76"/>
      <c r="D8" s="77"/>
      <c r="E8" s="76"/>
      <c r="F8" s="85"/>
      <c r="G8" s="219"/>
      <c r="H8" s="219"/>
      <c r="I8" s="87"/>
      <c r="J8" s="104"/>
      <c r="K8" s="89"/>
      <c r="L8" s="105"/>
      <c r="M8" s="90"/>
      <c r="N8"/>
      <c r="O8"/>
      <c r="P8"/>
      <c r="Q8"/>
      <c r="R8" s="96"/>
    </row>
    <row r="9" spans="2:18" x14ac:dyDescent="0.2">
      <c r="B9" s="106"/>
      <c r="C9" s="76"/>
      <c r="D9" s="77"/>
      <c r="E9" s="76"/>
      <c r="F9" s="85"/>
      <c r="I9" s="107"/>
      <c r="L9" s="108"/>
      <c r="M9" s="90"/>
      <c r="N9"/>
      <c r="O9"/>
      <c r="P9"/>
      <c r="Q9"/>
      <c r="R9" s="96"/>
    </row>
    <row r="10" spans="2:18" ht="13.5" thickBot="1" x14ac:dyDescent="0.25">
      <c r="B10" s="7"/>
      <c r="D10"/>
      <c r="E10" s="109"/>
      <c r="F10" s="110"/>
      <c r="G10" s="111"/>
      <c r="H10" s="112"/>
      <c r="I10" s="113"/>
      <c r="J10" s="114"/>
      <c r="K10" s="114"/>
      <c r="L10" s="115"/>
      <c r="M10" s="116"/>
      <c r="R10" s="117"/>
    </row>
    <row r="11" spans="2:18" x14ac:dyDescent="0.2">
      <c r="B11" s="118"/>
      <c r="E11" s="109"/>
      <c r="L11" s="119"/>
      <c r="M11"/>
      <c r="N11"/>
      <c r="O11"/>
      <c r="P11"/>
      <c r="Q11"/>
      <c r="R11" s="96"/>
    </row>
    <row r="12" spans="2:18" x14ac:dyDescent="0.2">
      <c r="E12" s="109"/>
      <c r="L12" s="119"/>
      <c r="R12" s="120" t="s">
        <v>59</v>
      </c>
    </row>
    <row r="13" spans="2:18" x14ac:dyDescent="0.2">
      <c r="E13" s="109"/>
      <c r="F13" s="121"/>
      <c r="G13" s="122"/>
      <c r="H13" s="122"/>
      <c r="I13" s="123" t="s">
        <v>57</v>
      </c>
      <c r="J13" s="124">
        <f t="shared" ref="J13:R13" si="0">SUM(J56:J211)</f>
        <v>427233.85010493733</v>
      </c>
      <c r="K13" s="124">
        <f t="shared" si="0"/>
        <v>395747.32420385472</v>
      </c>
      <c r="L13" s="125">
        <f t="shared" si="0"/>
        <v>31486.525901082874</v>
      </c>
      <c r="M13" s="126">
        <f t="shared" si="0"/>
        <v>2254.4814004475211</v>
      </c>
      <c r="N13" s="124">
        <f t="shared" si="0"/>
        <v>33741.00730153043</v>
      </c>
      <c r="O13" s="124">
        <f t="shared" si="0"/>
        <v>0</v>
      </c>
      <c r="P13" s="124">
        <f t="shared" si="0"/>
        <v>0</v>
      </c>
      <c r="Q13" s="124">
        <f t="shared" si="0"/>
        <v>0</v>
      </c>
      <c r="R13" s="125">
        <f t="shared" si="0"/>
        <v>33741.00730153043</v>
      </c>
    </row>
    <row r="14" spans="2:18" x14ac:dyDescent="0.2">
      <c r="E14" s="109"/>
      <c r="F14" s="127"/>
      <c r="G14" s="127"/>
      <c r="H14" s="127"/>
      <c r="I14" s="128" t="s">
        <v>58</v>
      </c>
      <c r="J14" s="124">
        <f>SUM(J20:J211)</f>
        <v>1609526.7200000035</v>
      </c>
      <c r="K14" s="124">
        <f>SUM(K20:K211)</f>
        <v>1490906.8944751329</v>
      </c>
      <c r="L14" s="125">
        <f>SUM(L20:L211)</f>
        <v>118619.82552486741</v>
      </c>
      <c r="M14" s="179">
        <v>8493.3533540753888</v>
      </c>
      <c r="N14" s="124">
        <f>SUM(N20:N211)</f>
        <v>127113.17887894288</v>
      </c>
      <c r="O14" s="124">
        <f>SUM(O20:O211)</f>
        <v>0</v>
      </c>
      <c r="P14" s="124">
        <f>SUM(P20:P211)</f>
        <v>0</v>
      </c>
      <c r="Q14" s="124">
        <f>SUM(Q20:Q211)</f>
        <v>0</v>
      </c>
      <c r="R14" s="125">
        <f>SUM(R20:R211)</f>
        <v>127113.17887894288</v>
      </c>
    </row>
    <row r="15" spans="2:18" x14ac:dyDescent="0.2">
      <c r="B15" s="129" t="s">
        <v>81</v>
      </c>
      <c r="E15" s="109"/>
      <c r="J15" s="45"/>
      <c r="L15" s="119"/>
      <c r="M15" s="130"/>
      <c r="N15" s="130"/>
      <c r="O15" s="130"/>
      <c r="P15" s="130"/>
      <c r="Q15" s="130"/>
      <c r="R15" s="131" t="s">
        <v>20</v>
      </c>
    </row>
    <row r="16" spans="2:18" x14ac:dyDescent="0.2">
      <c r="B16" s="132" t="str">
        <f>"** Actual Trued-Up CY"&amp;R1&amp;" Charge reflects "&amp;R1&amp;" True-UP Rate x MW"</f>
        <v>** Actual Trued-Up CY2025 Charge reflects 2025 True-UP Rate x MW</v>
      </c>
      <c r="E16" s="109"/>
      <c r="G16" s="3"/>
      <c r="J16" s="133"/>
      <c r="L16" s="134" t="s">
        <v>11</v>
      </c>
      <c r="M16" s="130"/>
      <c r="N16" s="130"/>
      <c r="O16" s="130"/>
      <c r="P16" s="130"/>
      <c r="Q16" s="130"/>
      <c r="R16" s="135"/>
    </row>
    <row r="17" spans="1:18" x14ac:dyDescent="0.2">
      <c r="B17" s="136" t="s">
        <v>61</v>
      </c>
      <c r="E17" s="109"/>
      <c r="I17" s="137"/>
      <c r="J17" s="138"/>
      <c r="K17" s="137"/>
      <c r="L17" s="137"/>
      <c r="M17" s="137"/>
      <c r="N17" s="137"/>
      <c r="O17" s="137"/>
      <c r="P17" s="137"/>
      <c r="Q17" s="137"/>
      <c r="R17" s="139"/>
    </row>
    <row r="18" spans="1:18" ht="3.6" customHeight="1" x14ac:dyDescent="0.2">
      <c r="I18" s="140"/>
      <c r="J18" s="138"/>
      <c r="K18" s="140"/>
      <c r="L18" s="140"/>
      <c r="M18" s="141"/>
      <c r="N18" s="141"/>
      <c r="O18" s="141"/>
      <c r="P18" s="141"/>
      <c r="Q18" s="141"/>
      <c r="R18" s="142"/>
    </row>
    <row r="19" spans="1:18" ht="38.25" customHeight="1" x14ac:dyDescent="0.2">
      <c r="B19" s="143" t="s">
        <v>52</v>
      </c>
      <c r="C19" s="187" t="s">
        <v>4</v>
      </c>
      <c r="D19" s="187" t="s">
        <v>5</v>
      </c>
      <c r="E19" s="181" t="s">
        <v>0</v>
      </c>
      <c r="F19" s="182" t="s">
        <v>12</v>
      </c>
      <c r="G19" s="188" t="s">
        <v>1</v>
      </c>
      <c r="H19" s="144" t="s">
        <v>47</v>
      </c>
      <c r="I19" s="144" t="s">
        <v>45</v>
      </c>
      <c r="J19" s="145" t="str">
        <f>"True-Up Charge"</f>
        <v>True-Up Charge</v>
      </c>
      <c r="K19" s="145" t="s">
        <v>46</v>
      </c>
      <c r="L19" s="146" t="s">
        <v>3</v>
      </c>
      <c r="M19" s="147" t="s">
        <v>7</v>
      </c>
      <c r="N19" s="148" t="s">
        <v>96</v>
      </c>
      <c r="O19" s="148" t="s">
        <v>83</v>
      </c>
      <c r="P19" s="148" t="s">
        <v>84</v>
      </c>
      <c r="Q19" s="148" t="s">
        <v>85</v>
      </c>
      <c r="R19" s="149" t="s">
        <v>2</v>
      </c>
    </row>
    <row r="20" spans="1:18" ht="12.75" customHeight="1" x14ac:dyDescent="0.2">
      <c r="A20" s="86">
        <v>1</v>
      </c>
      <c r="B20" s="150">
        <f>DATE($R$1,A20,1)</f>
        <v>45658</v>
      </c>
      <c r="C20" s="183">
        <v>45693</v>
      </c>
      <c r="D20" s="183">
        <v>45712</v>
      </c>
      <c r="E20" s="151" t="s">
        <v>21</v>
      </c>
      <c r="F20" s="86">
        <v>9</v>
      </c>
      <c r="G20" s="152">
        <v>2941</v>
      </c>
      <c r="H20" s="153">
        <f>+$K$3</f>
        <v>14.082031249469972</v>
      </c>
      <c r="I20" s="153">
        <f t="shared" ref="I20:I63" si="1">$J$3</f>
        <v>15.202428570079263</v>
      </c>
      <c r="J20" s="104">
        <f t="shared" ref="J20:J108" si="2">+$G20*I20</f>
        <v>44710.342424603114</v>
      </c>
      <c r="K20" s="154">
        <f>+$G20*H20</f>
        <v>41415.253904691192</v>
      </c>
      <c r="L20" s="155">
        <f t="shared" ref="L20:L34" si="3">+J20-K20</f>
        <v>3295.088519911922</v>
      </c>
      <c r="M20" s="104">
        <f>G20/$G$212*$M$14</f>
        <v>235.93316723183173</v>
      </c>
      <c r="N20" s="156">
        <f>SUM(L20:M20)</f>
        <v>3531.0216871437538</v>
      </c>
      <c r="O20" s="104">
        <v>0</v>
      </c>
      <c r="P20" s="104">
        <v>0</v>
      </c>
      <c r="Q20" s="104">
        <v>0</v>
      </c>
      <c r="R20" s="156">
        <f>+N20-Q20</f>
        <v>3531.0216871437538</v>
      </c>
    </row>
    <row r="21" spans="1:18" x14ac:dyDescent="0.2">
      <c r="A21" s="86">
        <v>2</v>
      </c>
      <c r="B21" s="150">
        <f t="shared" ref="B21:B108" si="4">DATE($R$1,A21,1)</f>
        <v>45689</v>
      </c>
      <c r="C21" s="183">
        <v>45721</v>
      </c>
      <c r="D21" s="183">
        <v>45740</v>
      </c>
      <c r="E21" s="157" t="s">
        <v>21</v>
      </c>
      <c r="F21" s="86">
        <v>9</v>
      </c>
      <c r="G21" s="152">
        <v>3221</v>
      </c>
      <c r="H21" s="153">
        <f t="shared" ref="H21:H84" si="5">+$K$3</f>
        <v>14.082031249469972</v>
      </c>
      <c r="I21" s="153">
        <f t="shared" si="1"/>
        <v>15.202428570079263</v>
      </c>
      <c r="J21" s="104">
        <f t="shared" si="2"/>
        <v>48967.02242422531</v>
      </c>
      <c r="K21" s="154">
        <f t="shared" ref="K21:K33" si="6">+$G21*H21</f>
        <v>45358.222654542784</v>
      </c>
      <c r="L21" s="155">
        <f t="shared" si="3"/>
        <v>3608.7997696825259</v>
      </c>
      <c r="M21" s="104">
        <f t="shared" ref="M21:M84" si="7">G21/$G$212*$M$14</f>
        <v>258.39535248341718</v>
      </c>
      <c r="N21" s="156">
        <f t="shared" ref="N21:N84" si="8">SUM(L21:M21)</f>
        <v>3867.1951221659433</v>
      </c>
      <c r="O21" s="104">
        <v>0</v>
      </c>
      <c r="P21" s="104">
        <v>0</v>
      </c>
      <c r="Q21" s="104">
        <v>0</v>
      </c>
      <c r="R21" s="156">
        <f t="shared" ref="R21:R84" si="9">+N21-Q21</f>
        <v>3867.1951221659433</v>
      </c>
    </row>
    <row r="22" spans="1:18" x14ac:dyDescent="0.2">
      <c r="A22" s="86">
        <v>3</v>
      </c>
      <c r="B22" s="150">
        <f t="shared" si="4"/>
        <v>45717</v>
      </c>
      <c r="C22" s="183">
        <v>45750</v>
      </c>
      <c r="D22" s="183">
        <v>45771</v>
      </c>
      <c r="E22" s="157" t="s">
        <v>21</v>
      </c>
      <c r="F22" s="86">
        <v>9</v>
      </c>
      <c r="G22" s="152">
        <v>2419</v>
      </c>
      <c r="H22" s="153">
        <f t="shared" si="5"/>
        <v>14.082031249469972</v>
      </c>
      <c r="I22" s="153">
        <f t="shared" si="1"/>
        <v>15.202428570079263</v>
      </c>
      <c r="J22" s="104">
        <f t="shared" si="2"/>
        <v>36774.67471102174</v>
      </c>
      <c r="K22" s="154">
        <f t="shared" si="6"/>
        <v>34064.43359246786</v>
      </c>
      <c r="L22" s="155">
        <f t="shared" si="3"/>
        <v>2710.2411185538804</v>
      </c>
      <c r="M22" s="104">
        <f t="shared" si="7"/>
        <v>194.05723615566166</v>
      </c>
      <c r="N22" s="156">
        <f t="shared" si="8"/>
        <v>2904.2983547095419</v>
      </c>
      <c r="O22" s="104">
        <v>0</v>
      </c>
      <c r="P22" s="104">
        <v>0</v>
      </c>
      <c r="Q22" s="104">
        <v>0</v>
      </c>
      <c r="R22" s="156">
        <f t="shared" si="9"/>
        <v>2904.2983547095419</v>
      </c>
    </row>
    <row r="23" spans="1:18" x14ac:dyDescent="0.2">
      <c r="A23" s="86">
        <v>4</v>
      </c>
      <c r="B23" s="150">
        <f t="shared" si="4"/>
        <v>45748</v>
      </c>
      <c r="C23" s="183">
        <v>45782</v>
      </c>
      <c r="D23" s="183">
        <v>45803</v>
      </c>
      <c r="E23" s="157" t="s">
        <v>21</v>
      </c>
      <c r="F23" s="86">
        <v>9</v>
      </c>
      <c r="G23" s="152">
        <v>2717</v>
      </c>
      <c r="H23" s="153">
        <f t="shared" si="5"/>
        <v>14.082031249469972</v>
      </c>
      <c r="I23" s="153">
        <f t="shared" si="1"/>
        <v>15.202428570079263</v>
      </c>
      <c r="J23" s="104">
        <f t="shared" si="2"/>
        <v>41304.99842490536</v>
      </c>
      <c r="K23" s="154">
        <f t="shared" si="6"/>
        <v>38260.878904809913</v>
      </c>
      <c r="L23" s="155">
        <f t="shared" si="3"/>
        <v>3044.1195200954462</v>
      </c>
      <c r="M23" s="104">
        <f t="shared" si="7"/>
        <v>217.96341903056333</v>
      </c>
      <c r="N23" s="156">
        <f t="shared" si="8"/>
        <v>3262.0829391260095</v>
      </c>
      <c r="O23" s="104">
        <v>0</v>
      </c>
      <c r="P23" s="104">
        <v>0</v>
      </c>
      <c r="Q23" s="104">
        <v>0</v>
      </c>
      <c r="R23" s="156">
        <f t="shared" si="9"/>
        <v>3262.0829391260095</v>
      </c>
    </row>
    <row r="24" spans="1:18" ht="12" customHeight="1" x14ac:dyDescent="0.2">
      <c r="A24" s="86">
        <v>5</v>
      </c>
      <c r="B24" s="150">
        <f t="shared" si="4"/>
        <v>45778</v>
      </c>
      <c r="C24" s="183">
        <v>45812</v>
      </c>
      <c r="D24" s="183">
        <v>45832</v>
      </c>
      <c r="E24" s="1" t="s">
        <v>21</v>
      </c>
      <c r="F24" s="86">
        <v>9</v>
      </c>
      <c r="G24" s="152">
        <v>3378</v>
      </c>
      <c r="H24" s="153">
        <f t="shared" si="5"/>
        <v>14.082031249469972</v>
      </c>
      <c r="I24" s="153">
        <f t="shared" si="1"/>
        <v>15.202428570079263</v>
      </c>
      <c r="J24" s="104">
        <f t="shared" si="2"/>
        <v>51353.803709727748</v>
      </c>
      <c r="K24" s="154">
        <f t="shared" si="6"/>
        <v>47569.101560709569</v>
      </c>
      <c r="L24" s="155">
        <f t="shared" si="3"/>
        <v>3784.7021490181796</v>
      </c>
      <c r="M24" s="104">
        <f t="shared" si="7"/>
        <v>270.99022064234185</v>
      </c>
      <c r="N24" s="156">
        <f t="shared" si="8"/>
        <v>4055.6923696605213</v>
      </c>
      <c r="O24" s="104">
        <v>0</v>
      </c>
      <c r="P24" s="104">
        <v>0</v>
      </c>
      <c r="Q24" s="104">
        <v>0</v>
      </c>
      <c r="R24" s="156">
        <f t="shared" si="9"/>
        <v>4055.6923696605213</v>
      </c>
    </row>
    <row r="25" spans="1:18" x14ac:dyDescent="0.2">
      <c r="A25" s="86">
        <v>6</v>
      </c>
      <c r="B25" s="150">
        <f t="shared" si="4"/>
        <v>45809</v>
      </c>
      <c r="C25" s="183">
        <v>45841</v>
      </c>
      <c r="D25" s="183">
        <v>45862</v>
      </c>
      <c r="E25" s="1" t="s">
        <v>21</v>
      </c>
      <c r="F25" s="86">
        <v>9</v>
      </c>
      <c r="G25" s="152">
        <v>3824</v>
      </c>
      <c r="H25" s="153">
        <f t="shared" si="5"/>
        <v>14.082031249469972</v>
      </c>
      <c r="I25" s="153">
        <f t="shared" si="1"/>
        <v>15.202428570079263</v>
      </c>
      <c r="J25" s="104">
        <f t="shared" si="2"/>
        <v>58134.086851983106</v>
      </c>
      <c r="K25" s="154">
        <f t="shared" si="6"/>
        <v>53849.687497973173</v>
      </c>
      <c r="L25" s="155">
        <f t="shared" si="3"/>
        <v>4284.3993540099327</v>
      </c>
      <c r="M25" s="104">
        <f t="shared" si="7"/>
        <v>306.76927286451019</v>
      </c>
      <c r="N25" s="156">
        <f t="shared" si="8"/>
        <v>4591.1686268744434</v>
      </c>
      <c r="O25" s="104">
        <v>0</v>
      </c>
      <c r="P25" s="104">
        <v>0</v>
      </c>
      <c r="Q25" s="104">
        <v>0</v>
      </c>
      <c r="R25" s="156">
        <f t="shared" si="9"/>
        <v>4591.1686268744434</v>
      </c>
    </row>
    <row r="26" spans="1:18" x14ac:dyDescent="0.2">
      <c r="A26" s="86">
        <v>7</v>
      </c>
      <c r="B26" s="150">
        <f t="shared" si="4"/>
        <v>45839</v>
      </c>
      <c r="C26" s="183">
        <v>45874</v>
      </c>
      <c r="D26" s="183">
        <v>45894</v>
      </c>
      <c r="E26" s="1" t="s">
        <v>21</v>
      </c>
      <c r="F26" s="86">
        <v>9</v>
      </c>
      <c r="G26" s="152">
        <v>4110</v>
      </c>
      <c r="H26" s="153">
        <f t="shared" si="5"/>
        <v>14.082031249469972</v>
      </c>
      <c r="I26" s="153">
        <f t="shared" si="1"/>
        <v>15.202428570079263</v>
      </c>
      <c r="J26" s="104">
        <f t="shared" si="2"/>
        <v>62481.981423025769</v>
      </c>
      <c r="K26" s="154">
        <f t="shared" si="6"/>
        <v>57877.148435321586</v>
      </c>
      <c r="L26" s="155">
        <f t="shared" si="3"/>
        <v>4604.8329877041833</v>
      </c>
      <c r="M26" s="104">
        <f t="shared" si="7"/>
        <v>329.71279065720103</v>
      </c>
      <c r="N26" s="156">
        <f t="shared" si="8"/>
        <v>4934.5457783613847</v>
      </c>
      <c r="O26" s="104">
        <v>0</v>
      </c>
      <c r="P26" s="104">
        <v>0</v>
      </c>
      <c r="Q26" s="104">
        <v>0</v>
      </c>
      <c r="R26" s="156">
        <f t="shared" si="9"/>
        <v>4934.5457783613847</v>
      </c>
    </row>
    <row r="27" spans="1:18" x14ac:dyDescent="0.2">
      <c r="A27" s="86">
        <v>8</v>
      </c>
      <c r="B27" s="150">
        <f t="shared" si="4"/>
        <v>45870</v>
      </c>
      <c r="C27" s="183">
        <v>45904</v>
      </c>
      <c r="D27" s="183">
        <v>45924</v>
      </c>
      <c r="E27" s="1" t="s">
        <v>21</v>
      </c>
      <c r="F27" s="86">
        <v>9</v>
      </c>
      <c r="G27" s="152">
        <v>4096</v>
      </c>
      <c r="H27" s="153">
        <f t="shared" si="5"/>
        <v>14.082031249469972</v>
      </c>
      <c r="I27" s="153">
        <f t="shared" si="1"/>
        <v>15.202428570079263</v>
      </c>
      <c r="J27" s="104">
        <f t="shared" si="2"/>
        <v>62269.147423044662</v>
      </c>
      <c r="K27" s="154">
        <f t="shared" si="6"/>
        <v>57679.999997829007</v>
      </c>
      <c r="L27" s="155">
        <f t="shared" si="3"/>
        <v>4589.1474252156549</v>
      </c>
      <c r="M27" s="104">
        <f t="shared" si="7"/>
        <v>328.58968139462178</v>
      </c>
      <c r="N27" s="156">
        <f t="shared" si="8"/>
        <v>4917.7371066102769</v>
      </c>
      <c r="O27" s="104">
        <v>0</v>
      </c>
      <c r="P27" s="104">
        <v>0</v>
      </c>
      <c r="Q27" s="104">
        <v>0</v>
      </c>
      <c r="R27" s="156">
        <f t="shared" si="9"/>
        <v>4917.7371066102769</v>
      </c>
    </row>
    <row r="28" spans="1:18" x14ac:dyDescent="0.2">
      <c r="A28" s="86">
        <v>9</v>
      </c>
      <c r="B28" s="150">
        <f t="shared" si="4"/>
        <v>45901</v>
      </c>
      <c r="C28" s="183">
        <v>45933</v>
      </c>
      <c r="D28" s="183">
        <v>45954</v>
      </c>
      <c r="E28" s="1" t="s">
        <v>21</v>
      </c>
      <c r="F28" s="86">
        <v>9</v>
      </c>
      <c r="G28" s="152">
        <v>3657</v>
      </c>
      <c r="H28" s="153">
        <f t="shared" si="5"/>
        <v>14.082031249469972</v>
      </c>
      <c r="I28" s="153">
        <f t="shared" si="1"/>
        <v>15.202428570079263</v>
      </c>
      <c r="J28" s="104">
        <f t="shared" si="2"/>
        <v>55595.281280779862</v>
      </c>
      <c r="K28" s="154">
        <f t="shared" si="6"/>
        <v>51497.988279311692</v>
      </c>
      <c r="L28" s="155">
        <f t="shared" si="3"/>
        <v>4097.2930014681697</v>
      </c>
      <c r="M28" s="104">
        <f t="shared" si="7"/>
        <v>293.3721838037431</v>
      </c>
      <c r="N28" s="156">
        <f t="shared" si="8"/>
        <v>4390.6651852719124</v>
      </c>
      <c r="O28" s="104">
        <v>0</v>
      </c>
      <c r="P28" s="104">
        <v>0</v>
      </c>
      <c r="Q28" s="104">
        <v>0</v>
      </c>
      <c r="R28" s="156">
        <f t="shared" si="9"/>
        <v>4390.6651852719124</v>
      </c>
    </row>
    <row r="29" spans="1:18" x14ac:dyDescent="0.2">
      <c r="A29" s="86">
        <v>10</v>
      </c>
      <c r="B29" s="150">
        <f t="shared" si="4"/>
        <v>45931</v>
      </c>
      <c r="C29" s="183">
        <v>45966</v>
      </c>
      <c r="D29" s="183">
        <v>45985</v>
      </c>
      <c r="E29" s="1" t="s">
        <v>21</v>
      </c>
      <c r="F29" s="86">
        <v>9</v>
      </c>
      <c r="G29" s="152">
        <v>3261</v>
      </c>
      <c r="H29" s="153">
        <f t="shared" si="5"/>
        <v>14.082031249469972</v>
      </c>
      <c r="I29" s="153">
        <f t="shared" si="1"/>
        <v>15.202428570079263</v>
      </c>
      <c r="J29" s="104">
        <f t="shared" si="2"/>
        <v>49575.11956702848</v>
      </c>
      <c r="K29" s="154">
        <f t="shared" si="6"/>
        <v>45921.503904521582</v>
      </c>
      <c r="L29" s="155">
        <f t="shared" si="3"/>
        <v>3653.6156625068979</v>
      </c>
      <c r="M29" s="104">
        <f t="shared" si="7"/>
        <v>261.60423609078651</v>
      </c>
      <c r="N29" s="156">
        <f t="shared" si="8"/>
        <v>3915.2198985976843</v>
      </c>
      <c r="O29" s="104">
        <v>0</v>
      </c>
      <c r="P29" s="104">
        <v>0</v>
      </c>
      <c r="Q29" s="104">
        <v>0</v>
      </c>
      <c r="R29" s="156">
        <f t="shared" si="9"/>
        <v>3915.2198985976843</v>
      </c>
    </row>
    <row r="30" spans="1:18" x14ac:dyDescent="0.2">
      <c r="A30" s="86">
        <v>11</v>
      </c>
      <c r="B30" s="150">
        <f t="shared" si="4"/>
        <v>45962</v>
      </c>
      <c r="C30" s="183">
        <v>45994</v>
      </c>
      <c r="D30" s="183">
        <v>46015</v>
      </c>
      <c r="E30" s="1" t="s">
        <v>21</v>
      </c>
      <c r="F30" s="86">
        <v>9</v>
      </c>
      <c r="G30" s="152">
        <v>2449</v>
      </c>
      <c r="H30" s="153">
        <f t="shared" si="5"/>
        <v>14.082031249469972</v>
      </c>
      <c r="I30" s="153">
        <f t="shared" si="1"/>
        <v>15.202428570079263</v>
      </c>
      <c r="J30" s="104">
        <f t="shared" si="2"/>
        <v>37230.747568124112</v>
      </c>
      <c r="K30" s="154">
        <f t="shared" si="6"/>
        <v>34486.894529951962</v>
      </c>
      <c r="L30" s="155">
        <f t="shared" si="3"/>
        <v>2743.8530381721503</v>
      </c>
      <c r="M30" s="104">
        <f t="shared" si="7"/>
        <v>196.46389886118865</v>
      </c>
      <c r="N30" s="156">
        <f t="shared" si="8"/>
        <v>2940.3169370333389</v>
      </c>
      <c r="O30" s="104">
        <v>0</v>
      </c>
      <c r="P30" s="104">
        <v>0</v>
      </c>
      <c r="Q30" s="104">
        <v>0</v>
      </c>
      <c r="R30" s="156">
        <f t="shared" si="9"/>
        <v>2940.3169370333389</v>
      </c>
    </row>
    <row r="31" spans="1:18" x14ac:dyDescent="0.2">
      <c r="A31" s="86">
        <v>12</v>
      </c>
      <c r="B31" s="150">
        <f t="shared" si="4"/>
        <v>45992</v>
      </c>
      <c r="C31" s="184">
        <v>46028</v>
      </c>
      <c r="D31" s="185">
        <v>46048</v>
      </c>
      <c r="E31" s="1" t="s">
        <v>21</v>
      </c>
      <c r="F31" s="86">
        <v>9</v>
      </c>
      <c r="G31" s="190">
        <v>2817</v>
      </c>
      <c r="H31" s="158">
        <f t="shared" si="5"/>
        <v>14.082031249469972</v>
      </c>
      <c r="I31" s="158">
        <f t="shared" si="1"/>
        <v>15.202428570079263</v>
      </c>
      <c r="J31" s="159">
        <f t="shared" si="2"/>
        <v>42825.241281913288</v>
      </c>
      <c r="K31" s="160">
        <f t="shared" si="6"/>
        <v>39669.082029756915</v>
      </c>
      <c r="L31" s="161">
        <f t="shared" si="3"/>
        <v>3156.1592521563725</v>
      </c>
      <c r="M31" s="159">
        <f t="shared" si="7"/>
        <v>225.98562804898671</v>
      </c>
      <c r="N31" s="191">
        <f t="shared" si="8"/>
        <v>3382.1448802053592</v>
      </c>
      <c r="O31" s="159">
        <v>0</v>
      </c>
      <c r="P31" s="159">
        <v>0</v>
      </c>
      <c r="Q31" s="159">
        <v>0</v>
      </c>
      <c r="R31" s="191">
        <f t="shared" si="9"/>
        <v>3382.1448802053592</v>
      </c>
    </row>
    <row r="32" spans="1:18" x14ac:dyDescent="0.2">
      <c r="A32" s="86">
        <v>1</v>
      </c>
      <c r="B32" s="162">
        <f t="shared" si="4"/>
        <v>45658</v>
      </c>
      <c r="C32" s="163">
        <f t="shared" ref="C32:D43" si="10">+C20</f>
        <v>45693</v>
      </c>
      <c r="D32" s="163">
        <f t="shared" si="10"/>
        <v>45712</v>
      </c>
      <c r="E32" s="164" t="s">
        <v>22</v>
      </c>
      <c r="F32" s="165">
        <v>9</v>
      </c>
      <c r="G32" s="152">
        <v>3414</v>
      </c>
      <c r="H32" s="153">
        <f t="shared" si="5"/>
        <v>14.082031249469972</v>
      </c>
      <c r="I32" s="153">
        <f t="shared" si="1"/>
        <v>15.202428570079263</v>
      </c>
      <c r="J32" s="104">
        <f t="shared" si="2"/>
        <v>51901.091138250602</v>
      </c>
      <c r="K32" s="154">
        <f t="shared" si="6"/>
        <v>48076.054685690484</v>
      </c>
      <c r="L32" s="155">
        <f t="shared" si="3"/>
        <v>3825.0364525601181</v>
      </c>
      <c r="M32" s="104">
        <f t="shared" si="7"/>
        <v>273.87821588897435</v>
      </c>
      <c r="N32" s="156">
        <f t="shared" si="8"/>
        <v>4098.9146684490925</v>
      </c>
      <c r="O32" s="104">
        <v>0</v>
      </c>
      <c r="P32" s="104">
        <v>0</v>
      </c>
      <c r="Q32" s="104">
        <v>0</v>
      </c>
      <c r="R32" s="156">
        <f t="shared" si="9"/>
        <v>4098.9146684490925</v>
      </c>
    </row>
    <row r="33" spans="1:18" x14ac:dyDescent="0.2">
      <c r="A33" s="86">
        <v>2</v>
      </c>
      <c r="B33" s="150">
        <f t="shared" si="4"/>
        <v>45689</v>
      </c>
      <c r="C33" s="166">
        <f t="shared" si="10"/>
        <v>45721</v>
      </c>
      <c r="D33" s="166">
        <f t="shared" si="10"/>
        <v>45740</v>
      </c>
      <c r="E33" s="157" t="s">
        <v>22</v>
      </c>
      <c r="F33" s="86">
        <v>9</v>
      </c>
      <c r="G33" s="152">
        <v>3330</v>
      </c>
      <c r="H33" s="153">
        <f t="shared" si="5"/>
        <v>14.082031249469972</v>
      </c>
      <c r="I33" s="153">
        <f t="shared" si="1"/>
        <v>15.202428570079263</v>
      </c>
      <c r="J33" s="104">
        <f t="shared" si="2"/>
        <v>50624.087138363946</v>
      </c>
      <c r="K33" s="154">
        <f t="shared" si="6"/>
        <v>46893.164060735005</v>
      </c>
      <c r="L33" s="155">
        <f t="shared" si="3"/>
        <v>3730.9230776289405</v>
      </c>
      <c r="M33" s="104">
        <f t="shared" si="7"/>
        <v>267.13956031349869</v>
      </c>
      <c r="N33" s="156">
        <f t="shared" si="8"/>
        <v>3998.0626379424393</v>
      </c>
      <c r="O33" s="104">
        <v>0</v>
      </c>
      <c r="P33" s="104">
        <v>0</v>
      </c>
      <c r="Q33" s="104">
        <v>0</v>
      </c>
      <c r="R33" s="156">
        <f t="shared" si="9"/>
        <v>3998.0626379424393</v>
      </c>
    </row>
    <row r="34" spans="1:18" x14ac:dyDescent="0.2">
      <c r="A34" s="86">
        <v>3</v>
      </c>
      <c r="B34" s="150">
        <f t="shared" si="4"/>
        <v>45717</v>
      </c>
      <c r="C34" s="166">
        <f t="shared" si="10"/>
        <v>45750</v>
      </c>
      <c r="D34" s="166">
        <f t="shared" si="10"/>
        <v>45771</v>
      </c>
      <c r="E34" s="157" t="s">
        <v>22</v>
      </c>
      <c r="F34" s="86">
        <v>9</v>
      </c>
      <c r="G34" s="152">
        <v>2483</v>
      </c>
      <c r="H34" s="153">
        <f t="shared" si="5"/>
        <v>14.082031249469972</v>
      </c>
      <c r="I34" s="153">
        <f t="shared" si="1"/>
        <v>15.202428570079263</v>
      </c>
      <c r="J34" s="104">
        <f t="shared" si="2"/>
        <v>37747.630139506808</v>
      </c>
      <c r="K34" s="154">
        <f t="shared" ref="K34:K93" si="11">+$G34*H34</f>
        <v>34965.683592433939</v>
      </c>
      <c r="L34" s="155">
        <f t="shared" si="3"/>
        <v>2781.9465470728683</v>
      </c>
      <c r="M34" s="104">
        <f t="shared" si="7"/>
        <v>199.1914499274526</v>
      </c>
      <c r="N34" s="156">
        <f t="shared" si="8"/>
        <v>2981.1379970003209</v>
      </c>
      <c r="O34" s="104">
        <v>0</v>
      </c>
      <c r="P34" s="104">
        <v>0</v>
      </c>
      <c r="Q34" s="104">
        <v>0</v>
      </c>
      <c r="R34" s="156">
        <f t="shared" si="9"/>
        <v>2981.1379970003209</v>
      </c>
    </row>
    <row r="35" spans="1:18" x14ac:dyDescent="0.2">
      <c r="A35" s="86">
        <v>4</v>
      </c>
      <c r="B35" s="150">
        <f t="shared" si="4"/>
        <v>45748</v>
      </c>
      <c r="C35" s="166">
        <f t="shared" si="10"/>
        <v>45782</v>
      </c>
      <c r="D35" s="166">
        <f t="shared" si="10"/>
        <v>45803</v>
      </c>
      <c r="E35" s="157" t="s">
        <v>22</v>
      </c>
      <c r="F35" s="86">
        <v>9</v>
      </c>
      <c r="G35" s="152">
        <v>2549</v>
      </c>
      <c r="H35" s="153">
        <f t="shared" si="5"/>
        <v>14.082031249469972</v>
      </c>
      <c r="I35" s="153">
        <f t="shared" si="1"/>
        <v>15.202428570079263</v>
      </c>
      <c r="J35" s="104">
        <f t="shared" si="2"/>
        <v>38750.99042513204</v>
      </c>
      <c r="K35" s="154">
        <f t="shared" si="11"/>
        <v>35895.097654898957</v>
      </c>
      <c r="L35" s="155">
        <f t="shared" ref="L35:L57" si="12">+J35-K35</f>
        <v>2855.8927702330839</v>
      </c>
      <c r="M35" s="104">
        <f t="shared" si="7"/>
        <v>204.48610787961204</v>
      </c>
      <c r="N35" s="156">
        <f t="shared" si="8"/>
        <v>3060.3788781126959</v>
      </c>
      <c r="O35" s="104">
        <v>0</v>
      </c>
      <c r="P35" s="104">
        <v>0</v>
      </c>
      <c r="Q35" s="104">
        <v>0</v>
      </c>
      <c r="R35" s="156">
        <f t="shared" si="9"/>
        <v>3060.3788781126959</v>
      </c>
    </row>
    <row r="36" spans="1:18" x14ac:dyDescent="0.2">
      <c r="A36" s="86">
        <v>5</v>
      </c>
      <c r="B36" s="150">
        <f t="shared" si="4"/>
        <v>45778</v>
      </c>
      <c r="C36" s="166">
        <f t="shared" si="10"/>
        <v>45812</v>
      </c>
      <c r="D36" s="166">
        <f t="shared" si="10"/>
        <v>45832</v>
      </c>
      <c r="E36" s="1" t="s">
        <v>22</v>
      </c>
      <c r="F36" s="86">
        <v>9</v>
      </c>
      <c r="G36" s="152">
        <v>3007</v>
      </c>
      <c r="H36" s="153">
        <f t="shared" si="5"/>
        <v>14.082031249469972</v>
      </c>
      <c r="I36" s="153">
        <f t="shared" si="1"/>
        <v>15.202428570079263</v>
      </c>
      <c r="J36" s="104">
        <f t="shared" si="2"/>
        <v>45713.702710228346</v>
      </c>
      <c r="K36" s="154">
        <f t="shared" si="11"/>
        <v>42344.667967156209</v>
      </c>
      <c r="L36" s="155">
        <f t="shared" si="12"/>
        <v>3369.0347430721376</v>
      </c>
      <c r="M36" s="104">
        <f t="shared" si="7"/>
        <v>241.22782518399114</v>
      </c>
      <c r="N36" s="156">
        <f t="shared" si="8"/>
        <v>3610.2625682561288</v>
      </c>
      <c r="O36" s="104">
        <v>0</v>
      </c>
      <c r="P36" s="104">
        <v>0</v>
      </c>
      <c r="Q36" s="104">
        <v>0</v>
      </c>
      <c r="R36" s="156">
        <f t="shared" si="9"/>
        <v>3610.2625682561288</v>
      </c>
    </row>
    <row r="37" spans="1:18" x14ac:dyDescent="0.2">
      <c r="A37" s="86">
        <v>6</v>
      </c>
      <c r="B37" s="150">
        <f t="shared" si="4"/>
        <v>45809</v>
      </c>
      <c r="C37" s="166">
        <f t="shared" si="10"/>
        <v>45841</v>
      </c>
      <c r="D37" s="166">
        <f t="shared" si="10"/>
        <v>45862</v>
      </c>
      <c r="E37" s="1" t="s">
        <v>22</v>
      </c>
      <c r="F37" s="86">
        <v>9</v>
      </c>
      <c r="G37" s="152">
        <v>3377</v>
      </c>
      <c r="H37" s="153">
        <f t="shared" si="5"/>
        <v>14.082031249469972</v>
      </c>
      <c r="I37" s="153">
        <f t="shared" si="1"/>
        <v>15.202428570079263</v>
      </c>
      <c r="J37" s="104">
        <f t="shared" si="2"/>
        <v>51338.601281157673</v>
      </c>
      <c r="K37" s="154">
        <f t="shared" si="11"/>
        <v>47555.0195294601</v>
      </c>
      <c r="L37" s="155">
        <f t="shared" si="12"/>
        <v>3783.5817516975731</v>
      </c>
      <c r="M37" s="104">
        <f t="shared" si="7"/>
        <v>270.90999855215767</v>
      </c>
      <c r="N37" s="156">
        <f t="shared" si="8"/>
        <v>4054.4917502497306</v>
      </c>
      <c r="O37" s="104">
        <v>0</v>
      </c>
      <c r="P37" s="104">
        <v>0</v>
      </c>
      <c r="Q37" s="104">
        <v>0</v>
      </c>
      <c r="R37" s="156">
        <f t="shared" si="9"/>
        <v>4054.4917502497306</v>
      </c>
    </row>
    <row r="38" spans="1:18" x14ac:dyDescent="0.2">
      <c r="A38" s="86">
        <v>7</v>
      </c>
      <c r="B38" s="150">
        <f t="shared" si="4"/>
        <v>45839</v>
      </c>
      <c r="C38" s="166">
        <f t="shared" si="10"/>
        <v>45874</v>
      </c>
      <c r="D38" s="166">
        <f t="shared" si="10"/>
        <v>45894</v>
      </c>
      <c r="E38" s="1" t="s">
        <v>22</v>
      </c>
      <c r="F38" s="86">
        <v>9</v>
      </c>
      <c r="G38" s="152">
        <v>3723</v>
      </c>
      <c r="H38" s="153">
        <f t="shared" si="5"/>
        <v>14.082031249469972</v>
      </c>
      <c r="I38" s="153">
        <f t="shared" si="1"/>
        <v>15.202428570079263</v>
      </c>
      <c r="J38" s="104">
        <f t="shared" si="2"/>
        <v>56598.641566405095</v>
      </c>
      <c r="K38" s="154">
        <f t="shared" si="11"/>
        <v>52427.402341776709</v>
      </c>
      <c r="L38" s="155">
        <f t="shared" si="12"/>
        <v>4171.2392246283853</v>
      </c>
      <c r="M38" s="104">
        <f t="shared" si="7"/>
        <v>298.66684175590257</v>
      </c>
      <c r="N38" s="156">
        <f t="shared" si="8"/>
        <v>4469.9060663842874</v>
      </c>
      <c r="O38" s="104">
        <v>0</v>
      </c>
      <c r="P38" s="104">
        <v>0</v>
      </c>
      <c r="Q38" s="104">
        <v>0</v>
      </c>
      <c r="R38" s="156">
        <f t="shared" si="9"/>
        <v>4469.9060663842874</v>
      </c>
    </row>
    <row r="39" spans="1:18" x14ac:dyDescent="0.2">
      <c r="A39" s="86">
        <v>8</v>
      </c>
      <c r="B39" s="150">
        <f t="shared" si="4"/>
        <v>45870</v>
      </c>
      <c r="C39" s="166">
        <f t="shared" si="10"/>
        <v>45904</v>
      </c>
      <c r="D39" s="166">
        <f t="shared" si="10"/>
        <v>45924</v>
      </c>
      <c r="E39" s="1" t="s">
        <v>22</v>
      </c>
      <c r="F39" s="86">
        <v>9</v>
      </c>
      <c r="G39" s="152">
        <v>3715</v>
      </c>
      <c r="H39" s="153">
        <f t="shared" si="5"/>
        <v>14.082031249469972</v>
      </c>
      <c r="I39" s="153">
        <f t="shared" si="1"/>
        <v>15.202428570079263</v>
      </c>
      <c r="J39" s="104">
        <f t="shared" si="2"/>
        <v>56477.022137844462</v>
      </c>
      <c r="K39" s="154">
        <f t="shared" si="11"/>
        <v>52314.746091780944</v>
      </c>
      <c r="L39" s="155">
        <f t="shared" si="12"/>
        <v>4162.2760460635182</v>
      </c>
      <c r="M39" s="104">
        <f t="shared" si="7"/>
        <v>298.02506503442868</v>
      </c>
      <c r="N39" s="156">
        <f t="shared" si="8"/>
        <v>4460.3011110979469</v>
      </c>
      <c r="O39" s="104">
        <v>0</v>
      </c>
      <c r="P39" s="104">
        <v>0</v>
      </c>
      <c r="Q39" s="104">
        <v>0</v>
      </c>
      <c r="R39" s="156">
        <f t="shared" si="9"/>
        <v>4460.3011110979469</v>
      </c>
    </row>
    <row r="40" spans="1:18" x14ac:dyDescent="0.2">
      <c r="A40" s="86">
        <v>9</v>
      </c>
      <c r="B40" s="150">
        <f t="shared" si="4"/>
        <v>45901</v>
      </c>
      <c r="C40" s="166">
        <f t="shared" si="10"/>
        <v>45933</v>
      </c>
      <c r="D40" s="166">
        <f t="shared" si="10"/>
        <v>45954</v>
      </c>
      <c r="E40" s="1" t="s">
        <v>22</v>
      </c>
      <c r="F40" s="86">
        <v>9</v>
      </c>
      <c r="G40" s="152">
        <v>3256</v>
      </c>
      <c r="H40" s="153">
        <f t="shared" si="5"/>
        <v>14.082031249469972</v>
      </c>
      <c r="I40" s="153">
        <f t="shared" si="1"/>
        <v>15.202428570079263</v>
      </c>
      <c r="J40" s="104">
        <f t="shared" si="2"/>
        <v>49499.107424178081</v>
      </c>
      <c r="K40" s="154">
        <f t="shared" si="11"/>
        <v>45851.09374827423</v>
      </c>
      <c r="L40" s="155">
        <f t="shared" si="12"/>
        <v>3648.0136759038505</v>
      </c>
      <c r="M40" s="104">
        <f t="shared" si="7"/>
        <v>261.20312563986539</v>
      </c>
      <c r="N40" s="156">
        <f t="shared" si="8"/>
        <v>3909.216801543716</v>
      </c>
      <c r="O40" s="104">
        <v>0</v>
      </c>
      <c r="P40" s="104">
        <v>0</v>
      </c>
      <c r="Q40" s="104">
        <v>0</v>
      </c>
      <c r="R40" s="156">
        <f t="shared" si="9"/>
        <v>3909.216801543716</v>
      </c>
    </row>
    <row r="41" spans="1:18" x14ac:dyDescent="0.2">
      <c r="A41" s="86">
        <v>10</v>
      </c>
      <c r="B41" s="150">
        <f t="shared" si="4"/>
        <v>45931</v>
      </c>
      <c r="C41" s="166">
        <f t="shared" si="10"/>
        <v>45966</v>
      </c>
      <c r="D41" s="166">
        <f t="shared" si="10"/>
        <v>45985</v>
      </c>
      <c r="E41" s="1" t="s">
        <v>22</v>
      </c>
      <c r="F41" s="86">
        <v>9</v>
      </c>
      <c r="G41" s="152">
        <v>3014</v>
      </c>
      <c r="H41" s="153">
        <f t="shared" si="5"/>
        <v>14.082031249469972</v>
      </c>
      <c r="I41" s="153">
        <f t="shared" si="1"/>
        <v>15.202428570079263</v>
      </c>
      <c r="J41" s="104">
        <f t="shared" si="2"/>
        <v>45820.119710218896</v>
      </c>
      <c r="K41" s="154">
        <f t="shared" si="11"/>
        <v>42443.242185902498</v>
      </c>
      <c r="L41" s="155">
        <f t="shared" si="12"/>
        <v>3376.8775243163982</v>
      </c>
      <c r="M41" s="104">
        <f t="shared" si="7"/>
        <v>241.78937981528077</v>
      </c>
      <c r="N41" s="156">
        <f t="shared" si="8"/>
        <v>3618.6669041316791</v>
      </c>
      <c r="O41" s="104">
        <v>0</v>
      </c>
      <c r="P41" s="104">
        <v>0</v>
      </c>
      <c r="Q41" s="104">
        <v>0</v>
      </c>
      <c r="R41" s="156">
        <f t="shared" si="9"/>
        <v>3618.6669041316791</v>
      </c>
    </row>
    <row r="42" spans="1:18" x14ac:dyDescent="0.2">
      <c r="A42" s="86">
        <v>11</v>
      </c>
      <c r="B42" s="150">
        <f t="shared" si="4"/>
        <v>45962</v>
      </c>
      <c r="C42" s="166">
        <f t="shared" si="10"/>
        <v>45994</v>
      </c>
      <c r="D42" s="166">
        <f t="shared" si="10"/>
        <v>46015</v>
      </c>
      <c r="E42" s="1" t="s">
        <v>22</v>
      </c>
      <c r="F42" s="86">
        <v>9</v>
      </c>
      <c r="G42" s="152">
        <v>2338</v>
      </c>
      <c r="H42" s="153">
        <f t="shared" si="5"/>
        <v>14.082031249469972</v>
      </c>
      <c r="I42" s="153">
        <f t="shared" si="1"/>
        <v>15.202428570079263</v>
      </c>
      <c r="J42" s="104">
        <f t="shared" si="2"/>
        <v>35543.277996845318</v>
      </c>
      <c r="K42" s="154">
        <f t="shared" si="11"/>
        <v>32923.789061260795</v>
      </c>
      <c r="L42" s="155">
        <f t="shared" si="12"/>
        <v>2619.4889355845226</v>
      </c>
      <c r="M42" s="104">
        <f t="shared" si="7"/>
        <v>187.55924685073873</v>
      </c>
      <c r="N42" s="156">
        <f t="shared" si="8"/>
        <v>2807.0481824352614</v>
      </c>
      <c r="O42" s="104">
        <v>0</v>
      </c>
      <c r="P42" s="104">
        <v>0</v>
      </c>
      <c r="Q42" s="104">
        <v>0</v>
      </c>
      <c r="R42" s="156">
        <f t="shared" si="9"/>
        <v>2807.0481824352614</v>
      </c>
    </row>
    <row r="43" spans="1:18" x14ac:dyDescent="0.2">
      <c r="A43" s="86">
        <v>12</v>
      </c>
      <c r="B43" s="150">
        <f t="shared" si="4"/>
        <v>45992</v>
      </c>
      <c r="C43" s="166">
        <f t="shared" si="10"/>
        <v>46028</v>
      </c>
      <c r="D43" s="166">
        <f t="shared" si="10"/>
        <v>46048</v>
      </c>
      <c r="E43" s="1" t="s">
        <v>22</v>
      </c>
      <c r="F43" s="86">
        <v>9</v>
      </c>
      <c r="G43" s="190">
        <v>2969</v>
      </c>
      <c r="H43" s="158">
        <f t="shared" si="5"/>
        <v>14.082031249469972</v>
      </c>
      <c r="I43" s="158">
        <f t="shared" si="1"/>
        <v>15.202428570079263</v>
      </c>
      <c r="J43" s="159">
        <f t="shared" si="2"/>
        <v>45136.010424565335</v>
      </c>
      <c r="K43" s="160">
        <f t="shared" si="11"/>
        <v>41809.550779676349</v>
      </c>
      <c r="L43" s="161">
        <f t="shared" si="12"/>
        <v>3326.4596448889861</v>
      </c>
      <c r="M43" s="159">
        <f t="shared" si="7"/>
        <v>238.17938575699026</v>
      </c>
      <c r="N43" s="191">
        <f t="shared" si="8"/>
        <v>3564.6390306459762</v>
      </c>
      <c r="O43" s="159">
        <v>0</v>
      </c>
      <c r="P43" s="159">
        <v>0</v>
      </c>
      <c r="Q43" s="159">
        <v>0</v>
      </c>
      <c r="R43" s="191">
        <f t="shared" si="9"/>
        <v>3564.6390306459762</v>
      </c>
    </row>
    <row r="44" spans="1:18" x14ac:dyDescent="0.2">
      <c r="A44" s="86">
        <v>1</v>
      </c>
      <c r="B44" s="162">
        <f t="shared" ref="B44:B55" si="13">DATE($R$1,A44,1)</f>
        <v>45658</v>
      </c>
      <c r="C44" s="163">
        <f t="shared" ref="C44:D55" si="14">+C32</f>
        <v>45693</v>
      </c>
      <c r="D44" s="163">
        <f t="shared" si="14"/>
        <v>45712</v>
      </c>
      <c r="E44" s="164" t="s">
        <v>80</v>
      </c>
      <c r="F44" s="165">
        <v>9</v>
      </c>
      <c r="G44" s="152">
        <v>211</v>
      </c>
      <c r="H44" s="153">
        <f t="shared" si="5"/>
        <v>14.082031249469972</v>
      </c>
      <c r="I44" s="153">
        <f t="shared" si="1"/>
        <v>15.202428570079263</v>
      </c>
      <c r="J44" s="104">
        <f t="shared" ref="J44:J55" si="15">+$G44*I44</f>
        <v>3207.7124282867244</v>
      </c>
      <c r="K44" s="154">
        <f t="shared" ref="K44:K55" si="16">+$G44*H44</f>
        <v>2971.308593638164</v>
      </c>
      <c r="L44" s="155">
        <f t="shared" ref="L44:L55" si="17">+J44-K44</f>
        <v>236.40383464856041</v>
      </c>
      <c r="M44" s="104">
        <f t="shared" si="7"/>
        <v>16.92686102887334</v>
      </c>
      <c r="N44" s="156">
        <f t="shared" si="8"/>
        <v>253.33069567743374</v>
      </c>
      <c r="O44" s="104">
        <v>0</v>
      </c>
      <c r="P44" s="104">
        <v>0</v>
      </c>
      <c r="Q44" s="104">
        <v>0</v>
      </c>
      <c r="R44" s="156">
        <f t="shared" si="9"/>
        <v>253.33069567743374</v>
      </c>
    </row>
    <row r="45" spans="1:18" x14ac:dyDescent="0.2">
      <c r="A45" s="86">
        <v>2</v>
      </c>
      <c r="B45" s="150">
        <f t="shared" si="13"/>
        <v>45689</v>
      </c>
      <c r="C45" s="166">
        <f t="shared" si="14"/>
        <v>45721</v>
      </c>
      <c r="D45" s="166">
        <f t="shared" si="14"/>
        <v>45740</v>
      </c>
      <c r="E45" s="157" t="s">
        <v>80</v>
      </c>
      <c r="F45" s="86">
        <v>9</v>
      </c>
      <c r="G45" s="152">
        <v>200</v>
      </c>
      <c r="H45" s="153">
        <f t="shared" si="5"/>
        <v>14.082031249469972</v>
      </c>
      <c r="I45" s="153">
        <f t="shared" si="1"/>
        <v>15.202428570079263</v>
      </c>
      <c r="J45" s="104">
        <f t="shared" si="15"/>
        <v>3040.4857140158529</v>
      </c>
      <c r="K45" s="154">
        <f t="shared" si="16"/>
        <v>2816.4062498939943</v>
      </c>
      <c r="L45" s="155">
        <f t="shared" si="17"/>
        <v>224.07946412185856</v>
      </c>
      <c r="M45" s="104">
        <f t="shared" si="7"/>
        <v>16.044418036846768</v>
      </c>
      <c r="N45" s="156">
        <f t="shared" si="8"/>
        <v>240.12388215870533</v>
      </c>
      <c r="O45" s="104">
        <v>0</v>
      </c>
      <c r="P45" s="104">
        <v>0</v>
      </c>
      <c r="Q45" s="104">
        <v>0</v>
      </c>
      <c r="R45" s="156">
        <f t="shared" si="9"/>
        <v>240.12388215870533</v>
      </c>
    </row>
    <row r="46" spans="1:18" x14ac:dyDescent="0.2">
      <c r="A46" s="86">
        <v>3</v>
      </c>
      <c r="B46" s="150">
        <f t="shared" si="13"/>
        <v>45717</v>
      </c>
      <c r="C46" s="166">
        <f t="shared" si="14"/>
        <v>45750</v>
      </c>
      <c r="D46" s="166">
        <f t="shared" si="14"/>
        <v>45771</v>
      </c>
      <c r="E46" s="157" t="s">
        <v>80</v>
      </c>
      <c r="F46" s="86">
        <v>9</v>
      </c>
      <c r="G46" s="152">
        <v>122</v>
      </c>
      <c r="H46" s="153">
        <f t="shared" si="5"/>
        <v>14.082031249469972</v>
      </c>
      <c r="I46" s="153">
        <f t="shared" si="1"/>
        <v>15.202428570079263</v>
      </c>
      <c r="J46" s="104">
        <f t="shared" si="15"/>
        <v>1854.6962855496702</v>
      </c>
      <c r="K46" s="154">
        <f t="shared" si="16"/>
        <v>1718.0078124353367</v>
      </c>
      <c r="L46" s="155">
        <f t="shared" si="17"/>
        <v>136.68847311433342</v>
      </c>
      <c r="M46" s="104">
        <f t="shared" si="7"/>
        <v>9.7870950024765282</v>
      </c>
      <c r="N46" s="156">
        <f t="shared" si="8"/>
        <v>146.47556811680994</v>
      </c>
      <c r="O46" s="104">
        <v>0</v>
      </c>
      <c r="P46" s="104">
        <v>0</v>
      </c>
      <c r="Q46" s="104">
        <v>0</v>
      </c>
      <c r="R46" s="156">
        <f t="shared" si="9"/>
        <v>146.47556811680994</v>
      </c>
    </row>
    <row r="47" spans="1:18" x14ac:dyDescent="0.2">
      <c r="A47" s="86">
        <v>4</v>
      </c>
      <c r="B47" s="150">
        <f t="shared" si="13"/>
        <v>45748</v>
      </c>
      <c r="C47" s="166">
        <f t="shared" si="14"/>
        <v>45782</v>
      </c>
      <c r="D47" s="166">
        <f t="shared" si="14"/>
        <v>45803</v>
      </c>
      <c r="E47" s="157" t="s">
        <v>80</v>
      </c>
      <c r="F47" s="86">
        <v>9</v>
      </c>
      <c r="G47" s="152">
        <v>109</v>
      </c>
      <c r="H47" s="153">
        <f t="shared" si="5"/>
        <v>14.082031249469972</v>
      </c>
      <c r="I47" s="153">
        <f t="shared" si="1"/>
        <v>15.202428570079263</v>
      </c>
      <c r="J47" s="104">
        <f t="shared" si="15"/>
        <v>1657.0647141386396</v>
      </c>
      <c r="K47" s="154">
        <f t="shared" si="16"/>
        <v>1534.9414061922271</v>
      </c>
      <c r="L47" s="155">
        <f t="shared" si="17"/>
        <v>122.12330794641252</v>
      </c>
      <c r="M47" s="104">
        <f t="shared" si="7"/>
        <v>8.7442078300814892</v>
      </c>
      <c r="N47" s="156">
        <f t="shared" si="8"/>
        <v>130.867515776494</v>
      </c>
      <c r="O47" s="104">
        <v>0</v>
      </c>
      <c r="P47" s="104">
        <v>0</v>
      </c>
      <c r="Q47" s="104">
        <v>0</v>
      </c>
      <c r="R47" s="156">
        <f t="shared" si="9"/>
        <v>130.867515776494</v>
      </c>
    </row>
    <row r="48" spans="1:18" x14ac:dyDescent="0.2">
      <c r="A48" s="86">
        <v>5</v>
      </c>
      <c r="B48" s="150">
        <f t="shared" si="13"/>
        <v>45778</v>
      </c>
      <c r="C48" s="166">
        <f t="shared" si="14"/>
        <v>45812</v>
      </c>
      <c r="D48" s="166">
        <f t="shared" si="14"/>
        <v>45832</v>
      </c>
      <c r="E48" s="157" t="s">
        <v>80</v>
      </c>
      <c r="F48" s="86">
        <v>9</v>
      </c>
      <c r="G48" s="152">
        <v>102</v>
      </c>
      <c r="H48" s="153">
        <f t="shared" si="5"/>
        <v>14.082031249469972</v>
      </c>
      <c r="I48" s="153">
        <f t="shared" si="1"/>
        <v>15.202428570079263</v>
      </c>
      <c r="J48" s="104">
        <f t="shared" si="15"/>
        <v>1550.6477141480848</v>
      </c>
      <c r="K48" s="154">
        <f t="shared" si="16"/>
        <v>1436.3671874459371</v>
      </c>
      <c r="L48" s="155">
        <f t="shared" si="17"/>
        <v>114.28052670214765</v>
      </c>
      <c r="M48" s="104">
        <f t="shared" si="7"/>
        <v>8.1826531987918507</v>
      </c>
      <c r="N48" s="156">
        <f t="shared" si="8"/>
        <v>122.46317990093951</v>
      </c>
      <c r="O48" s="104">
        <v>0</v>
      </c>
      <c r="P48" s="104">
        <v>0</v>
      </c>
      <c r="Q48" s="104">
        <v>0</v>
      </c>
      <c r="R48" s="156">
        <f t="shared" si="9"/>
        <v>122.46317990093951</v>
      </c>
    </row>
    <row r="49" spans="1:18" x14ac:dyDescent="0.2">
      <c r="A49" s="86">
        <v>6</v>
      </c>
      <c r="B49" s="150">
        <f t="shared" si="13"/>
        <v>45809</v>
      </c>
      <c r="C49" s="166">
        <f t="shared" si="14"/>
        <v>45841</v>
      </c>
      <c r="D49" s="166">
        <f t="shared" si="14"/>
        <v>45862</v>
      </c>
      <c r="E49" s="157" t="s">
        <v>80</v>
      </c>
      <c r="F49" s="86">
        <v>9</v>
      </c>
      <c r="G49" s="152">
        <v>131</v>
      </c>
      <c r="H49" s="153">
        <f t="shared" si="5"/>
        <v>14.082031249469972</v>
      </c>
      <c r="I49" s="153">
        <f t="shared" si="1"/>
        <v>15.202428570079263</v>
      </c>
      <c r="J49" s="104">
        <f t="shared" si="15"/>
        <v>1991.5181426803836</v>
      </c>
      <c r="K49" s="154">
        <f t="shared" si="16"/>
        <v>1844.7460936805664</v>
      </c>
      <c r="L49" s="155">
        <f t="shared" si="17"/>
        <v>146.77204899981712</v>
      </c>
      <c r="M49" s="104">
        <f t="shared" si="7"/>
        <v>10.509093814134632</v>
      </c>
      <c r="N49" s="156">
        <f t="shared" si="8"/>
        <v>157.28114281395176</v>
      </c>
      <c r="O49" s="104">
        <v>0</v>
      </c>
      <c r="P49" s="104">
        <v>0</v>
      </c>
      <c r="Q49" s="104">
        <v>0</v>
      </c>
      <c r="R49" s="156">
        <f t="shared" si="9"/>
        <v>157.28114281395176</v>
      </c>
    </row>
    <row r="50" spans="1:18" x14ac:dyDescent="0.2">
      <c r="A50" s="86">
        <v>7</v>
      </c>
      <c r="B50" s="150">
        <f t="shared" si="13"/>
        <v>45839</v>
      </c>
      <c r="C50" s="166">
        <f t="shared" si="14"/>
        <v>45874</v>
      </c>
      <c r="D50" s="166">
        <f t="shared" si="14"/>
        <v>45894</v>
      </c>
      <c r="E50" s="157" t="s">
        <v>80</v>
      </c>
      <c r="F50" s="86">
        <v>9</v>
      </c>
      <c r="G50" s="152">
        <v>146</v>
      </c>
      <c r="H50" s="153">
        <f t="shared" si="5"/>
        <v>14.082031249469972</v>
      </c>
      <c r="I50" s="153">
        <f t="shared" si="1"/>
        <v>15.202428570079263</v>
      </c>
      <c r="J50" s="104">
        <f t="shared" si="15"/>
        <v>2219.5545712315725</v>
      </c>
      <c r="K50" s="154">
        <f t="shared" si="16"/>
        <v>2055.9765624226161</v>
      </c>
      <c r="L50" s="155">
        <f t="shared" si="17"/>
        <v>163.57800880895638</v>
      </c>
      <c r="M50" s="104">
        <f t="shared" si="7"/>
        <v>11.712425166898139</v>
      </c>
      <c r="N50" s="156">
        <f t="shared" si="8"/>
        <v>175.29043397585451</v>
      </c>
      <c r="O50" s="104">
        <v>0</v>
      </c>
      <c r="P50" s="104">
        <v>0</v>
      </c>
      <c r="Q50" s="104">
        <v>0</v>
      </c>
      <c r="R50" s="156">
        <f t="shared" si="9"/>
        <v>175.29043397585451</v>
      </c>
    </row>
    <row r="51" spans="1:18" x14ac:dyDescent="0.2">
      <c r="A51" s="86">
        <v>8</v>
      </c>
      <c r="B51" s="150">
        <f t="shared" si="13"/>
        <v>45870</v>
      </c>
      <c r="C51" s="166">
        <f t="shared" si="14"/>
        <v>45904</v>
      </c>
      <c r="D51" s="166">
        <f t="shared" si="14"/>
        <v>45924</v>
      </c>
      <c r="E51" s="157" t="s">
        <v>80</v>
      </c>
      <c r="F51" s="86">
        <v>9</v>
      </c>
      <c r="G51" s="152">
        <v>149</v>
      </c>
      <c r="H51" s="153">
        <f t="shared" si="5"/>
        <v>14.082031249469972</v>
      </c>
      <c r="I51" s="153">
        <f t="shared" si="1"/>
        <v>15.202428570079263</v>
      </c>
      <c r="J51" s="104">
        <f t="shared" si="15"/>
        <v>2265.1618569418101</v>
      </c>
      <c r="K51" s="154">
        <f t="shared" si="16"/>
        <v>2098.2226561710258</v>
      </c>
      <c r="L51" s="155">
        <f t="shared" si="17"/>
        <v>166.93920077078428</v>
      </c>
      <c r="M51" s="104">
        <f t="shared" si="7"/>
        <v>11.953091437450842</v>
      </c>
      <c r="N51" s="156">
        <f t="shared" si="8"/>
        <v>178.89229220823512</v>
      </c>
      <c r="O51" s="104">
        <v>0</v>
      </c>
      <c r="P51" s="104">
        <v>0</v>
      </c>
      <c r="Q51" s="104">
        <v>0</v>
      </c>
      <c r="R51" s="156">
        <f t="shared" si="9"/>
        <v>178.89229220823512</v>
      </c>
    </row>
    <row r="52" spans="1:18" x14ac:dyDescent="0.2">
      <c r="A52" s="86">
        <v>9</v>
      </c>
      <c r="B52" s="150">
        <f t="shared" si="13"/>
        <v>45901</v>
      </c>
      <c r="C52" s="166">
        <f t="shared" si="14"/>
        <v>45933</v>
      </c>
      <c r="D52" s="166">
        <f t="shared" si="14"/>
        <v>45954</v>
      </c>
      <c r="E52" s="157" t="s">
        <v>80</v>
      </c>
      <c r="F52" s="86">
        <v>9</v>
      </c>
      <c r="G52" s="152">
        <v>122</v>
      </c>
      <c r="H52" s="153">
        <f t="shared" si="5"/>
        <v>14.082031249469972</v>
      </c>
      <c r="I52" s="153">
        <f t="shared" si="1"/>
        <v>15.202428570079263</v>
      </c>
      <c r="J52" s="104">
        <f t="shared" si="15"/>
        <v>1854.6962855496702</v>
      </c>
      <c r="K52" s="154">
        <f t="shared" si="16"/>
        <v>1718.0078124353367</v>
      </c>
      <c r="L52" s="155">
        <f t="shared" si="17"/>
        <v>136.68847311433342</v>
      </c>
      <c r="M52" s="104">
        <f t="shared" si="7"/>
        <v>9.7870950024765282</v>
      </c>
      <c r="N52" s="156">
        <f t="shared" si="8"/>
        <v>146.47556811680994</v>
      </c>
      <c r="O52" s="104">
        <v>0</v>
      </c>
      <c r="P52" s="104">
        <v>0</v>
      </c>
      <c r="Q52" s="104">
        <v>0</v>
      </c>
      <c r="R52" s="156">
        <f t="shared" si="9"/>
        <v>146.47556811680994</v>
      </c>
    </row>
    <row r="53" spans="1:18" x14ac:dyDescent="0.2">
      <c r="A53" s="86">
        <v>10</v>
      </c>
      <c r="B53" s="150">
        <f t="shared" si="13"/>
        <v>45931</v>
      </c>
      <c r="C53" s="166">
        <f t="shared" si="14"/>
        <v>45966</v>
      </c>
      <c r="D53" s="166">
        <f t="shared" si="14"/>
        <v>45985</v>
      </c>
      <c r="E53" s="157" t="s">
        <v>80</v>
      </c>
      <c r="F53" s="86">
        <v>9</v>
      </c>
      <c r="G53" s="152">
        <v>117</v>
      </c>
      <c r="H53" s="153">
        <f t="shared" si="5"/>
        <v>14.082031249469972</v>
      </c>
      <c r="I53" s="153">
        <f t="shared" si="1"/>
        <v>15.202428570079263</v>
      </c>
      <c r="J53" s="104">
        <f t="shared" si="15"/>
        <v>1778.6841426992737</v>
      </c>
      <c r="K53" s="154">
        <f t="shared" si="16"/>
        <v>1647.5976561879868</v>
      </c>
      <c r="L53" s="155">
        <f t="shared" si="17"/>
        <v>131.08648651128692</v>
      </c>
      <c r="M53" s="104">
        <f t="shared" si="7"/>
        <v>9.3859845515553584</v>
      </c>
      <c r="N53" s="156">
        <f t="shared" si="8"/>
        <v>140.47247106284229</v>
      </c>
      <c r="O53" s="104">
        <v>0</v>
      </c>
      <c r="P53" s="104">
        <v>0</v>
      </c>
      <c r="Q53" s="104">
        <v>0</v>
      </c>
      <c r="R53" s="156">
        <f t="shared" si="9"/>
        <v>140.47247106284229</v>
      </c>
    </row>
    <row r="54" spans="1:18" x14ac:dyDescent="0.2">
      <c r="A54" s="86">
        <v>11</v>
      </c>
      <c r="B54" s="150">
        <f t="shared" si="13"/>
        <v>45962</v>
      </c>
      <c r="C54" s="166">
        <f t="shared" si="14"/>
        <v>45994</v>
      </c>
      <c r="D54" s="166">
        <f t="shared" si="14"/>
        <v>46015</v>
      </c>
      <c r="E54" s="157" t="s">
        <v>80</v>
      </c>
      <c r="F54" s="86">
        <v>9</v>
      </c>
      <c r="G54" s="152">
        <v>118</v>
      </c>
      <c r="H54" s="153">
        <f t="shared" si="5"/>
        <v>14.082031249469972</v>
      </c>
      <c r="I54" s="153">
        <f t="shared" si="1"/>
        <v>15.202428570079263</v>
      </c>
      <c r="J54" s="104">
        <f t="shared" si="15"/>
        <v>1793.886571269353</v>
      </c>
      <c r="K54" s="154">
        <f t="shared" si="16"/>
        <v>1661.6796874374568</v>
      </c>
      <c r="L54" s="155">
        <f t="shared" si="17"/>
        <v>132.20688383189622</v>
      </c>
      <c r="M54" s="104">
        <f t="shared" si="7"/>
        <v>9.4662066417395927</v>
      </c>
      <c r="N54" s="156">
        <f t="shared" si="8"/>
        <v>141.67309047363582</v>
      </c>
      <c r="O54" s="104">
        <v>0</v>
      </c>
      <c r="P54" s="104">
        <v>0</v>
      </c>
      <c r="Q54" s="104">
        <v>0</v>
      </c>
      <c r="R54" s="156">
        <f t="shared" si="9"/>
        <v>141.67309047363582</v>
      </c>
    </row>
    <row r="55" spans="1:18" x14ac:dyDescent="0.2">
      <c r="A55" s="86">
        <v>12</v>
      </c>
      <c r="B55" s="150">
        <f t="shared" si="13"/>
        <v>45992</v>
      </c>
      <c r="C55" s="166">
        <f t="shared" si="14"/>
        <v>46028</v>
      </c>
      <c r="D55" s="166">
        <f t="shared" si="14"/>
        <v>46048</v>
      </c>
      <c r="E55" s="157" t="s">
        <v>80</v>
      </c>
      <c r="F55" s="86">
        <v>9</v>
      </c>
      <c r="G55" s="190">
        <v>178</v>
      </c>
      <c r="H55" s="158">
        <f t="shared" si="5"/>
        <v>14.082031249469972</v>
      </c>
      <c r="I55" s="158">
        <f t="shared" si="1"/>
        <v>15.202428570079263</v>
      </c>
      <c r="J55" s="159">
        <f t="shared" si="15"/>
        <v>2706.0322854741089</v>
      </c>
      <c r="K55" s="160">
        <f t="shared" si="16"/>
        <v>2506.6015624056549</v>
      </c>
      <c r="L55" s="161">
        <f t="shared" si="17"/>
        <v>199.43072306845397</v>
      </c>
      <c r="M55" s="159">
        <f t="shared" si="7"/>
        <v>14.279532052793622</v>
      </c>
      <c r="N55" s="191">
        <f t="shared" si="8"/>
        <v>213.7102551212476</v>
      </c>
      <c r="O55" s="159">
        <v>0</v>
      </c>
      <c r="P55" s="159">
        <v>0</v>
      </c>
      <c r="Q55" s="159">
        <v>0</v>
      </c>
      <c r="R55" s="191">
        <f t="shared" si="9"/>
        <v>213.7102551212476</v>
      </c>
    </row>
    <row r="56" spans="1:18" s="167" customFormat="1" x14ac:dyDescent="0.2">
      <c r="A56" s="86">
        <v>1</v>
      </c>
      <c r="B56" s="162">
        <f t="shared" si="4"/>
        <v>45658</v>
      </c>
      <c r="C56" s="163">
        <f t="shared" ref="C56:D67" si="18">+C32</f>
        <v>45693</v>
      </c>
      <c r="D56" s="163">
        <f t="shared" si="18"/>
        <v>45712</v>
      </c>
      <c r="E56" s="164" t="s">
        <v>14</v>
      </c>
      <c r="F56" s="165">
        <v>9</v>
      </c>
      <c r="G56" s="152">
        <v>966</v>
      </c>
      <c r="H56" s="153">
        <f t="shared" si="5"/>
        <v>14.082031249469972</v>
      </c>
      <c r="I56" s="153">
        <f t="shared" si="1"/>
        <v>15.202428570079263</v>
      </c>
      <c r="J56" s="104">
        <f t="shared" si="2"/>
        <v>14685.545998696569</v>
      </c>
      <c r="K56" s="154">
        <f t="shared" si="11"/>
        <v>13603.242186987993</v>
      </c>
      <c r="L56" s="155">
        <f t="shared" si="12"/>
        <v>1082.3038117085762</v>
      </c>
      <c r="M56" s="104">
        <f t="shared" si="7"/>
        <v>77.494539117969893</v>
      </c>
      <c r="N56" s="156">
        <f t="shared" si="8"/>
        <v>1159.7983508265461</v>
      </c>
      <c r="O56" s="104">
        <v>0</v>
      </c>
      <c r="P56" s="104">
        <v>0</v>
      </c>
      <c r="Q56" s="104">
        <v>0</v>
      </c>
      <c r="R56" s="156">
        <f t="shared" si="9"/>
        <v>1159.7983508265461</v>
      </c>
    </row>
    <row r="57" spans="1:18" x14ac:dyDescent="0.2">
      <c r="A57" s="86">
        <v>2</v>
      </c>
      <c r="B57" s="150">
        <f t="shared" si="4"/>
        <v>45689</v>
      </c>
      <c r="C57" s="166">
        <f t="shared" si="18"/>
        <v>45721</v>
      </c>
      <c r="D57" s="166">
        <f t="shared" si="18"/>
        <v>45740</v>
      </c>
      <c r="E57" s="157" t="s">
        <v>14</v>
      </c>
      <c r="F57" s="86">
        <v>9</v>
      </c>
      <c r="G57" s="152">
        <v>1102</v>
      </c>
      <c r="H57" s="153">
        <f t="shared" si="5"/>
        <v>14.082031249469972</v>
      </c>
      <c r="I57" s="153">
        <f t="shared" si="1"/>
        <v>15.202428570079263</v>
      </c>
      <c r="J57" s="104">
        <f t="shared" si="2"/>
        <v>16753.076284227347</v>
      </c>
      <c r="K57" s="154">
        <f t="shared" si="11"/>
        <v>15518.39843691591</v>
      </c>
      <c r="L57" s="155">
        <f t="shared" si="12"/>
        <v>1234.6778473114373</v>
      </c>
      <c r="M57" s="104">
        <f t="shared" si="7"/>
        <v>88.404743383025675</v>
      </c>
      <c r="N57" s="156">
        <f t="shared" si="8"/>
        <v>1323.0825906944629</v>
      </c>
      <c r="O57" s="104">
        <v>0</v>
      </c>
      <c r="P57" s="104">
        <v>0</v>
      </c>
      <c r="Q57" s="104">
        <v>0</v>
      </c>
      <c r="R57" s="156">
        <f t="shared" si="9"/>
        <v>1323.0825906944629</v>
      </c>
    </row>
    <row r="58" spans="1:18" x14ac:dyDescent="0.2">
      <c r="A58" s="86">
        <v>3</v>
      </c>
      <c r="B58" s="150">
        <f t="shared" si="4"/>
        <v>45717</v>
      </c>
      <c r="C58" s="166">
        <f t="shared" si="18"/>
        <v>45750</v>
      </c>
      <c r="D58" s="166">
        <f t="shared" si="18"/>
        <v>45771</v>
      </c>
      <c r="E58" s="157" t="s">
        <v>14</v>
      </c>
      <c r="F58" s="86">
        <v>9</v>
      </c>
      <c r="G58" s="152">
        <v>715</v>
      </c>
      <c r="H58" s="153">
        <f t="shared" si="5"/>
        <v>14.082031249469972</v>
      </c>
      <c r="I58" s="153">
        <f t="shared" si="1"/>
        <v>15.202428570079263</v>
      </c>
      <c r="J58" s="104">
        <f t="shared" si="2"/>
        <v>10869.736427606673</v>
      </c>
      <c r="K58" s="154">
        <f t="shared" si="11"/>
        <v>10068.65234337103</v>
      </c>
      <c r="L58" s="155">
        <f>+J58-K58</f>
        <v>801.08408423564288</v>
      </c>
      <c r="M58" s="104">
        <f t="shared" si="7"/>
        <v>57.358794481727188</v>
      </c>
      <c r="N58" s="156">
        <f t="shared" si="8"/>
        <v>858.44287871737004</v>
      </c>
      <c r="O58" s="104">
        <v>0</v>
      </c>
      <c r="P58" s="104">
        <v>0</v>
      </c>
      <c r="Q58" s="104">
        <v>0</v>
      </c>
      <c r="R58" s="156">
        <f t="shared" si="9"/>
        <v>858.44287871737004</v>
      </c>
    </row>
    <row r="59" spans="1:18" x14ac:dyDescent="0.2">
      <c r="A59" s="86">
        <v>4</v>
      </c>
      <c r="B59" s="150">
        <f t="shared" si="4"/>
        <v>45748</v>
      </c>
      <c r="C59" s="166">
        <f t="shared" si="18"/>
        <v>45782</v>
      </c>
      <c r="D59" s="166">
        <f t="shared" si="18"/>
        <v>45803</v>
      </c>
      <c r="E59" s="157" t="s">
        <v>14</v>
      </c>
      <c r="F59" s="86">
        <v>9</v>
      </c>
      <c r="G59" s="152">
        <v>581</v>
      </c>
      <c r="H59" s="153">
        <f t="shared" si="5"/>
        <v>14.082031249469972</v>
      </c>
      <c r="I59" s="153">
        <f t="shared" si="1"/>
        <v>15.202428570079263</v>
      </c>
      <c r="J59" s="104">
        <f t="shared" si="2"/>
        <v>8832.6109992160527</v>
      </c>
      <c r="K59" s="154">
        <f t="shared" si="11"/>
        <v>8181.6601559420542</v>
      </c>
      <c r="L59" s="155">
        <f t="shared" ref="L59:L81" si="19">+J59-K59</f>
        <v>650.95084327399854</v>
      </c>
      <c r="M59" s="104">
        <f t="shared" si="7"/>
        <v>46.609034397039856</v>
      </c>
      <c r="N59" s="156">
        <f t="shared" si="8"/>
        <v>697.55987767103841</v>
      </c>
      <c r="O59" s="104">
        <v>0</v>
      </c>
      <c r="P59" s="104">
        <v>0</v>
      </c>
      <c r="Q59" s="104">
        <v>0</v>
      </c>
      <c r="R59" s="156">
        <f t="shared" si="9"/>
        <v>697.55987767103841</v>
      </c>
    </row>
    <row r="60" spans="1:18" x14ac:dyDescent="0.2">
      <c r="A60" s="86">
        <v>5</v>
      </c>
      <c r="B60" s="150">
        <f t="shared" si="4"/>
        <v>45778</v>
      </c>
      <c r="C60" s="166">
        <f t="shared" si="18"/>
        <v>45812</v>
      </c>
      <c r="D60" s="166">
        <f t="shared" si="18"/>
        <v>45832</v>
      </c>
      <c r="E60" s="1" t="s">
        <v>14</v>
      </c>
      <c r="F60" s="86">
        <v>9</v>
      </c>
      <c r="G60" s="152">
        <v>781</v>
      </c>
      <c r="H60" s="153">
        <f t="shared" si="5"/>
        <v>14.082031249469972</v>
      </c>
      <c r="I60" s="153">
        <f t="shared" si="1"/>
        <v>15.202428570079263</v>
      </c>
      <c r="J60" s="104">
        <f t="shared" si="2"/>
        <v>11873.096713231904</v>
      </c>
      <c r="K60" s="154">
        <f t="shared" si="11"/>
        <v>10998.066405836049</v>
      </c>
      <c r="L60" s="155">
        <f t="shared" si="19"/>
        <v>875.03030739585483</v>
      </c>
      <c r="M60" s="104">
        <f t="shared" si="7"/>
        <v>62.653452433886628</v>
      </c>
      <c r="N60" s="156">
        <f t="shared" si="8"/>
        <v>937.68375982974146</v>
      </c>
      <c r="O60" s="104">
        <v>0</v>
      </c>
      <c r="P60" s="104">
        <v>0</v>
      </c>
      <c r="Q60" s="104">
        <v>0</v>
      </c>
      <c r="R60" s="156">
        <f t="shared" si="9"/>
        <v>937.68375982974146</v>
      </c>
    </row>
    <row r="61" spans="1:18" x14ac:dyDescent="0.2">
      <c r="A61" s="86">
        <v>6</v>
      </c>
      <c r="B61" s="150">
        <f t="shared" si="4"/>
        <v>45809</v>
      </c>
      <c r="C61" s="166">
        <f t="shared" si="18"/>
        <v>45841</v>
      </c>
      <c r="D61" s="166">
        <f t="shared" si="18"/>
        <v>45862</v>
      </c>
      <c r="E61" s="1" t="s">
        <v>14</v>
      </c>
      <c r="F61" s="86">
        <v>9</v>
      </c>
      <c r="G61" s="152">
        <v>896</v>
      </c>
      <c r="H61" s="153">
        <f t="shared" si="5"/>
        <v>14.082031249469972</v>
      </c>
      <c r="I61" s="153">
        <f t="shared" si="1"/>
        <v>15.202428570079263</v>
      </c>
      <c r="J61" s="104">
        <f t="shared" si="2"/>
        <v>13621.37599879102</v>
      </c>
      <c r="K61" s="154">
        <f t="shared" si="11"/>
        <v>12617.499999525095</v>
      </c>
      <c r="L61" s="155">
        <f t="shared" si="19"/>
        <v>1003.8759992659252</v>
      </c>
      <c r="M61" s="104">
        <f t="shared" si="7"/>
        <v>71.878992805073509</v>
      </c>
      <c r="N61" s="156">
        <f t="shared" si="8"/>
        <v>1075.7549920709987</v>
      </c>
      <c r="O61" s="104">
        <v>0</v>
      </c>
      <c r="P61" s="104">
        <v>0</v>
      </c>
      <c r="Q61" s="104">
        <v>0</v>
      </c>
      <c r="R61" s="156">
        <f t="shared" si="9"/>
        <v>1075.7549920709987</v>
      </c>
    </row>
    <row r="62" spans="1:18" x14ac:dyDescent="0.2">
      <c r="A62" s="86">
        <v>7</v>
      </c>
      <c r="B62" s="150">
        <f t="shared" si="4"/>
        <v>45839</v>
      </c>
      <c r="C62" s="166">
        <f t="shared" si="18"/>
        <v>45874</v>
      </c>
      <c r="D62" s="166">
        <f t="shared" si="18"/>
        <v>45894</v>
      </c>
      <c r="E62" s="1" t="s">
        <v>14</v>
      </c>
      <c r="F62" s="86">
        <v>9</v>
      </c>
      <c r="G62" s="152">
        <v>1028</v>
      </c>
      <c r="H62" s="153">
        <f t="shared" si="5"/>
        <v>14.082031249469972</v>
      </c>
      <c r="I62" s="153">
        <f t="shared" si="1"/>
        <v>15.202428570079263</v>
      </c>
      <c r="J62" s="104">
        <f t="shared" si="2"/>
        <v>15628.096570041482</v>
      </c>
      <c r="K62" s="154">
        <f t="shared" si="11"/>
        <v>14476.328124455131</v>
      </c>
      <c r="L62" s="155">
        <f t="shared" si="19"/>
        <v>1151.7684455863509</v>
      </c>
      <c r="M62" s="104">
        <f t="shared" si="7"/>
        <v>82.468308709392389</v>
      </c>
      <c r="N62" s="156">
        <f t="shared" si="8"/>
        <v>1234.2367542957434</v>
      </c>
      <c r="O62" s="104">
        <v>0</v>
      </c>
      <c r="P62" s="104">
        <v>0</v>
      </c>
      <c r="Q62" s="104">
        <v>0</v>
      </c>
      <c r="R62" s="156">
        <f t="shared" si="9"/>
        <v>1234.2367542957434</v>
      </c>
    </row>
    <row r="63" spans="1:18" x14ac:dyDescent="0.2">
      <c r="A63" s="86">
        <v>8</v>
      </c>
      <c r="B63" s="150">
        <f t="shared" si="4"/>
        <v>45870</v>
      </c>
      <c r="C63" s="166">
        <f t="shared" si="18"/>
        <v>45904</v>
      </c>
      <c r="D63" s="166">
        <f t="shared" si="18"/>
        <v>45924</v>
      </c>
      <c r="E63" s="1" t="s">
        <v>14</v>
      </c>
      <c r="F63" s="86">
        <v>9</v>
      </c>
      <c r="G63" s="152">
        <v>1055</v>
      </c>
      <c r="H63" s="153">
        <f t="shared" si="5"/>
        <v>14.082031249469972</v>
      </c>
      <c r="I63" s="153">
        <f t="shared" si="1"/>
        <v>15.202428570079263</v>
      </c>
      <c r="J63" s="104">
        <f t="shared" si="2"/>
        <v>16038.562141433622</v>
      </c>
      <c r="K63" s="154">
        <f t="shared" si="11"/>
        <v>14856.542968190821</v>
      </c>
      <c r="L63" s="155">
        <f t="shared" si="19"/>
        <v>1182.0191732428011</v>
      </c>
      <c r="M63" s="104">
        <f t="shared" si="7"/>
        <v>84.634305144366706</v>
      </c>
      <c r="N63" s="156">
        <f t="shared" si="8"/>
        <v>1266.6534783871678</v>
      </c>
      <c r="O63" s="104">
        <v>0</v>
      </c>
      <c r="P63" s="104">
        <v>0</v>
      </c>
      <c r="Q63" s="104">
        <v>0</v>
      </c>
      <c r="R63" s="156">
        <f t="shared" si="9"/>
        <v>1266.6534783871678</v>
      </c>
    </row>
    <row r="64" spans="1:18" x14ac:dyDescent="0.2">
      <c r="A64" s="86">
        <v>9</v>
      </c>
      <c r="B64" s="150">
        <f t="shared" si="4"/>
        <v>45901</v>
      </c>
      <c r="C64" s="166">
        <f t="shared" si="18"/>
        <v>45933</v>
      </c>
      <c r="D64" s="166">
        <f t="shared" si="18"/>
        <v>45954</v>
      </c>
      <c r="E64" s="1" t="s">
        <v>14</v>
      </c>
      <c r="F64" s="86">
        <v>9</v>
      </c>
      <c r="G64" s="152">
        <v>815</v>
      </c>
      <c r="H64" s="153">
        <f t="shared" si="5"/>
        <v>14.082031249469972</v>
      </c>
      <c r="I64" s="153">
        <f t="shared" ref="I64:I107" si="20">$J$3</f>
        <v>15.202428570079263</v>
      </c>
      <c r="J64" s="104">
        <f t="shared" si="2"/>
        <v>12389.979284614599</v>
      </c>
      <c r="K64" s="154">
        <f t="shared" si="11"/>
        <v>11476.855468318028</v>
      </c>
      <c r="L64" s="155">
        <f t="shared" si="19"/>
        <v>913.12381629657102</v>
      </c>
      <c r="M64" s="104">
        <f t="shared" si="7"/>
        <v>65.38100350015057</v>
      </c>
      <c r="N64" s="156">
        <f t="shared" si="8"/>
        <v>978.50481979672156</v>
      </c>
      <c r="O64" s="104">
        <v>0</v>
      </c>
      <c r="P64" s="104">
        <v>0</v>
      </c>
      <c r="Q64" s="104">
        <v>0</v>
      </c>
      <c r="R64" s="156">
        <f t="shared" si="9"/>
        <v>978.50481979672156</v>
      </c>
    </row>
    <row r="65" spans="1:18" x14ac:dyDescent="0.2">
      <c r="A65" s="86">
        <v>10</v>
      </c>
      <c r="B65" s="150">
        <f t="shared" si="4"/>
        <v>45931</v>
      </c>
      <c r="C65" s="166">
        <f t="shared" si="18"/>
        <v>45966</v>
      </c>
      <c r="D65" s="166">
        <f t="shared" si="18"/>
        <v>45985</v>
      </c>
      <c r="E65" s="1" t="s">
        <v>14</v>
      </c>
      <c r="F65" s="86">
        <v>9</v>
      </c>
      <c r="G65" s="152">
        <v>738</v>
      </c>
      <c r="H65" s="153">
        <f t="shared" si="5"/>
        <v>14.082031249469972</v>
      </c>
      <c r="I65" s="153">
        <f t="shared" si="20"/>
        <v>15.202428570079263</v>
      </c>
      <c r="J65" s="104">
        <f t="shared" si="2"/>
        <v>11219.392284718497</v>
      </c>
      <c r="K65" s="154">
        <f t="shared" si="11"/>
        <v>10392.539062108839</v>
      </c>
      <c r="L65" s="155">
        <f t="shared" si="19"/>
        <v>826.85322260965768</v>
      </c>
      <c r="M65" s="104">
        <f t="shared" si="7"/>
        <v>59.203902555964568</v>
      </c>
      <c r="N65" s="156">
        <f t="shared" si="8"/>
        <v>886.05712516562221</v>
      </c>
      <c r="O65" s="104">
        <v>0</v>
      </c>
      <c r="P65" s="104">
        <v>0</v>
      </c>
      <c r="Q65" s="104">
        <v>0</v>
      </c>
      <c r="R65" s="156">
        <f t="shared" si="9"/>
        <v>886.05712516562221</v>
      </c>
    </row>
    <row r="66" spans="1:18" x14ac:dyDescent="0.2">
      <c r="A66" s="86">
        <v>11</v>
      </c>
      <c r="B66" s="150">
        <f t="shared" si="4"/>
        <v>45962</v>
      </c>
      <c r="C66" s="166">
        <f t="shared" si="18"/>
        <v>45994</v>
      </c>
      <c r="D66" s="166">
        <f t="shared" si="18"/>
        <v>46015</v>
      </c>
      <c r="E66" s="1" t="s">
        <v>14</v>
      </c>
      <c r="F66" s="86">
        <v>9</v>
      </c>
      <c r="G66" s="152">
        <v>706</v>
      </c>
      <c r="H66" s="153">
        <f t="shared" si="5"/>
        <v>14.082031249469972</v>
      </c>
      <c r="I66" s="153">
        <f t="shared" si="20"/>
        <v>15.202428570079263</v>
      </c>
      <c r="J66" s="104">
        <f t="shared" si="2"/>
        <v>10732.914570475959</v>
      </c>
      <c r="K66" s="154">
        <f t="shared" si="11"/>
        <v>9941.9140621258011</v>
      </c>
      <c r="L66" s="155">
        <f t="shared" si="19"/>
        <v>791.00050835015827</v>
      </c>
      <c r="M66" s="104">
        <f t="shared" si="7"/>
        <v>56.636795670069091</v>
      </c>
      <c r="N66" s="156">
        <f t="shared" si="8"/>
        <v>847.63730402022736</v>
      </c>
      <c r="O66" s="104">
        <v>0</v>
      </c>
      <c r="P66" s="104">
        <v>0</v>
      </c>
      <c r="Q66" s="104">
        <v>0</v>
      </c>
      <c r="R66" s="156">
        <f t="shared" si="9"/>
        <v>847.63730402022736</v>
      </c>
    </row>
    <row r="67" spans="1:18" s="170" customFormat="1" x14ac:dyDescent="0.2">
      <c r="A67" s="86">
        <v>12</v>
      </c>
      <c r="B67" s="168">
        <f t="shared" si="4"/>
        <v>45992</v>
      </c>
      <c r="C67" s="166">
        <f t="shared" si="18"/>
        <v>46028</v>
      </c>
      <c r="D67" s="166">
        <f t="shared" si="18"/>
        <v>46048</v>
      </c>
      <c r="E67" s="169" t="s">
        <v>14</v>
      </c>
      <c r="F67" s="127">
        <v>9</v>
      </c>
      <c r="G67" s="190">
        <v>863</v>
      </c>
      <c r="H67" s="158">
        <f t="shared" si="5"/>
        <v>14.082031249469972</v>
      </c>
      <c r="I67" s="158">
        <f t="shared" si="20"/>
        <v>15.202428570079263</v>
      </c>
      <c r="J67" s="159">
        <f t="shared" si="2"/>
        <v>13119.695855978403</v>
      </c>
      <c r="K67" s="160">
        <f t="shared" si="11"/>
        <v>12152.792968292586</v>
      </c>
      <c r="L67" s="161">
        <f t="shared" si="19"/>
        <v>966.9028876858174</v>
      </c>
      <c r="M67" s="159">
        <f t="shared" si="7"/>
        <v>69.231663828993788</v>
      </c>
      <c r="N67" s="191">
        <f t="shared" si="8"/>
        <v>1036.1345515148112</v>
      </c>
      <c r="O67" s="159">
        <v>0</v>
      </c>
      <c r="P67" s="159">
        <v>0</v>
      </c>
      <c r="Q67" s="159">
        <v>0</v>
      </c>
      <c r="R67" s="191">
        <f t="shared" si="9"/>
        <v>1036.1345515148112</v>
      </c>
    </row>
    <row r="68" spans="1:18" x14ac:dyDescent="0.2">
      <c r="A68" s="86">
        <v>1</v>
      </c>
      <c r="B68" s="150">
        <f t="shared" si="4"/>
        <v>45658</v>
      </c>
      <c r="C68" s="163">
        <f t="shared" ref="C68:D79" si="21">+C56</f>
        <v>45693</v>
      </c>
      <c r="D68" s="163">
        <f t="shared" si="21"/>
        <v>45712</v>
      </c>
      <c r="E68" s="151" t="s">
        <v>82</v>
      </c>
      <c r="F68" s="86">
        <v>9</v>
      </c>
      <c r="G68" s="152">
        <v>47</v>
      </c>
      <c r="H68" s="153">
        <f t="shared" si="5"/>
        <v>14.082031249469972</v>
      </c>
      <c r="I68" s="153">
        <f t="shared" si="20"/>
        <v>15.202428570079263</v>
      </c>
      <c r="J68" s="104">
        <f t="shared" si="2"/>
        <v>714.51414279372534</v>
      </c>
      <c r="K68" s="154">
        <f t="shared" si="11"/>
        <v>661.85546872508871</v>
      </c>
      <c r="L68" s="155">
        <f t="shared" si="19"/>
        <v>52.658674068636628</v>
      </c>
      <c r="M68" s="104">
        <f t="shared" si="7"/>
        <v>3.7704382386589903</v>
      </c>
      <c r="N68" s="156">
        <f t="shared" si="8"/>
        <v>56.429112307295618</v>
      </c>
      <c r="O68" s="104">
        <v>0</v>
      </c>
      <c r="P68" s="104">
        <v>0</v>
      </c>
      <c r="Q68" s="104">
        <v>0</v>
      </c>
      <c r="R68" s="156">
        <f t="shared" si="9"/>
        <v>56.429112307295618</v>
      </c>
    </row>
    <row r="69" spans="1:18" x14ac:dyDescent="0.2">
      <c r="A69" s="86">
        <v>2</v>
      </c>
      <c r="B69" s="150">
        <f t="shared" si="4"/>
        <v>45689</v>
      </c>
      <c r="C69" s="166">
        <f t="shared" si="21"/>
        <v>45721</v>
      </c>
      <c r="D69" s="166">
        <f t="shared" si="21"/>
        <v>45740</v>
      </c>
      <c r="E69" s="157" t="s">
        <v>82</v>
      </c>
      <c r="F69" s="86">
        <v>9</v>
      </c>
      <c r="G69" s="152">
        <v>57</v>
      </c>
      <c r="H69" s="153">
        <f t="shared" si="5"/>
        <v>14.082031249469972</v>
      </c>
      <c r="I69" s="153">
        <f t="shared" si="20"/>
        <v>15.202428570079263</v>
      </c>
      <c r="J69" s="104">
        <f t="shared" si="2"/>
        <v>866.53842849451803</v>
      </c>
      <c r="K69" s="154">
        <f t="shared" si="11"/>
        <v>802.6757812197884</v>
      </c>
      <c r="L69" s="155">
        <f t="shared" si="19"/>
        <v>63.862647274729625</v>
      </c>
      <c r="M69" s="104">
        <f t="shared" si="7"/>
        <v>4.5726591405013286</v>
      </c>
      <c r="N69" s="156">
        <f t="shared" si="8"/>
        <v>68.435306415230954</v>
      </c>
      <c r="O69" s="104">
        <v>0</v>
      </c>
      <c r="P69" s="104">
        <v>0</v>
      </c>
      <c r="Q69" s="104">
        <v>0</v>
      </c>
      <c r="R69" s="156">
        <f t="shared" si="9"/>
        <v>68.435306415230954</v>
      </c>
    </row>
    <row r="70" spans="1:18" x14ac:dyDescent="0.2">
      <c r="A70" s="86">
        <v>3</v>
      </c>
      <c r="B70" s="150">
        <f t="shared" si="4"/>
        <v>45717</v>
      </c>
      <c r="C70" s="166">
        <f t="shared" si="21"/>
        <v>45750</v>
      </c>
      <c r="D70" s="166">
        <f t="shared" si="21"/>
        <v>45771</v>
      </c>
      <c r="E70" s="157" t="s">
        <v>82</v>
      </c>
      <c r="F70" s="86">
        <v>9</v>
      </c>
      <c r="G70" s="152">
        <v>34</v>
      </c>
      <c r="H70" s="153">
        <f t="shared" si="5"/>
        <v>14.082031249469972</v>
      </c>
      <c r="I70" s="153">
        <f t="shared" si="20"/>
        <v>15.202428570079263</v>
      </c>
      <c r="J70" s="104">
        <f t="shared" si="2"/>
        <v>516.88257138269501</v>
      </c>
      <c r="K70" s="154">
        <f t="shared" si="11"/>
        <v>478.78906248197904</v>
      </c>
      <c r="L70" s="155">
        <f>+J70-K70</f>
        <v>38.09350890071596</v>
      </c>
      <c r="M70" s="104">
        <f t="shared" si="7"/>
        <v>2.7275510662639504</v>
      </c>
      <c r="N70" s="156">
        <f t="shared" si="8"/>
        <v>40.821059966979909</v>
      </c>
      <c r="O70" s="104">
        <v>0</v>
      </c>
      <c r="P70" s="104">
        <v>0</v>
      </c>
      <c r="Q70" s="104">
        <v>0</v>
      </c>
      <c r="R70" s="156">
        <f t="shared" si="9"/>
        <v>40.821059966979909</v>
      </c>
    </row>
    <row r="71" spans="1:18" x14ac:dyDescent="0.2">
      <c r="A71" s="86">
        <v>4</v>
      </c>
      <c r="B71" s="150">
        <f t="shared" si="4"/>
        <v>45748</v>
      </c>
      <c r="C71" s="166">
        <f t="shared" si="21"/>
        <v>45782</v>
      </c>
      <c r="D71" s="166">
        <f t="shared" si="21"/>
        <v>45803</v>
      </c>
      <c r="E71" s="157" t="s">
        <v>82</v>
      </c>
      <c r="F71" s="86">
        <v>9</v>
      </c>
      <c r="G71" s="152">
        <v>27</v>
      </c>
      <c r="H71" s="153">
        <f t="shared" si="5"/>
        <v>14.082031249469972</v>
      </c>
      <c r="I71" s="153">
        <f t="shared" si="20"/>
        <v>15.202428570079263</v>
      </c>
      <c r="J71" s="104">
        <f t="shared" si="2"/>
        <v>410.46557139214008</v>
      </c>
      <c r="K71" s="154">
        <f t="shared" si="11"/>
        <v>380.21484373568927</v>
      </c>
      <c r="L71" s="155">
        <f t="shared" ref="L71:L79" si="22">+J71-K71</f>
        <v>30.250727656450806</v>
      </c>
      <c r="M71" s="104">
        <f t="shared" si="7"/>
        <v>2.1659964349743137</v>
      </c>
      <c r="N71" s="156">
        <f t="shared" si="8"/>
        <v>32.416724091425117</v>
      </c>
      <c r="O71" s="104">
        <v>0</v>
      </c>
      <c r="P71" s="104">
        <v>0</v>
      </c>
      <c r="Q71" s="104">
        <v>0</v>
      </c>
      <c r="R71" s="156">
        <f t="shared" si="9"/>
        <v>32.416724091425117</v>
      </c>
    </row>
    <row r="72" spans="1:18" x14ac:dyDescent="0.2">
      <c r="A72" s="86">
        <v>5</v>
      </c>
      <c r="B72" s="150">
        <f t="shared" si="4"/>
        <v>45778</v>
      </c>
      <c r="C72" s="166">
        <f t="shared" si="21"/>
        <v>45812</v>
      </c>
      <c r="D72" s="166">
        <f t="shared" si="21"/>
        <v>45832</v>
      </c>
      <c r="E72" s="157" t="s">
        <v>82</v>
      </c>
      <c r="F72" s="86">
        <v>9</v>
      </c>
      <c r="G72" s="152">
        <v>40</v>
      </c>
      <c r="H72" s="153">
        <f t="shared" si="5"/>
        <v>14.082031249469972</v>
      </c>
      <c r="I72" s="153">
        <f t="shared" si="20"/>
        <v>15.202428570079263</v>
      </c>
      <c r="J72" s="104">
        <f t="shared" si="2"/>
        <v>608.09714280317053</v>
      </c>
      <c r="K72" s="154">
        <f t="shared" si="11"/>
        <v>563.28124997879888</v>
      </c>
      <c r="L72" s="155">
        <f t="shared" si="22"/>
        <v>44.815892824371645</v>
      </c>
      <c r="M72" s="104">
        <f t="shared" si="7"/>
        <v>3.2088836073693532</v>
      </c>
      <c r="N72" s="156">
        <f t="shared" si="8"/>
        <v>48.024776431740996</v>
      </c>
      <c r="O72" s="104">
        <v>0</v>
      </c>
      <c r="P72" s="104">
        <v>0</v>
      </c>
      <c r="Q72" s="104">
        <v>0</v>
      </c>
      <c r="R72" s="156">
        <f t="shared" si="9"/>
        <v>48.024776431740996</v>
      </c>
    </row>
    <row r="73" spans="1:18" x14ac:dyDescent="0.2">
      <c r="A73" s="86">
        <v>6</v>
      </c>
      <c r="B73" s="150">
        <f t="shared" si="4"/>
        <v>45809</v>
      </c>
      <c r="C73" s="166">
        <f t="shared" si="21"/>
        <v>45841</v>
      </c>
      <c r="D73" s="166">
        <f t="shared" si="21"/>
        <v>45862</v>
      </c>
      <c r="E73" s="157" t="s">
        <v>82</v>
      </c>
      <c r="F73" s="86">
        <v>9</v>
      </c>
      <c r="G73" s="152">
        <v>46</v>
      </c>
      <c r="H73" s="153">
        <f t="shared" si="5"/>
        <v>14.082031249469972</v>
      </c>
      <c r="I73" s="153">
        <f t="shared" si="20"/>
        <v>15.202428570079263</v>
      </c>
      <c r="J73" s="104">
        <f t="shared" si="2"/>
        <v>699.31171422364605</v>
      </c>
      <c r="K73" s="154">
        <f t="shared" si="11"/>
        <v>647.77343747561872</v>
      </c>
      <c r="L73" s="155">
        <f t="shared" si="22"/>
        <v>51.538276748027329</v>
      </c>
      <c r="M73" s="104">
        <f t="shared" si="7"/>
        <v>3.6902161484747564</v>
      </c>
      <c r="N73" s="156">
        <f t="shared" si="8"/>
        <v>55.228492896502082</v>
      </c>
      <c r="O73" s="104">
        <v>0</v>
      </c>
      <c r="P73" s="104">
        <v>0</v>
      </c>
      <c r="Q73" s="104">
        <v>0</v>
      </c>
      <c r="R73" s="156">
        <f t="shared" si="9"/>
        <v>55.228492896502082</v>
      </c>
    </row>
    <row r="74" spans="1:18" x14ac:dyDescent="0.2">
      <c r="A74" s="86">
        <v>7</v>
      </c>
      <c r="B74" s="150">
        <f t="shared" si="4"/>
        <v>45839</v>
      </c>
      <c r="C74" s="166">
        <f t="shared" si="21"/>
        <v>45874</v>
      </c>
      <c r="D74" s="166">
        <f t="shared" si="21"/>
        <v>45894</v>
      </c>
      <c r="E74" s="157" t="s">
        <v>82</v>
      </c>
      <c r="F74" s="86">
        <v>9</v>
      </c>
      <c r="G74" s="152">
        <v>55</v>
      </c>
      <c r="H74" s="153">
        <f t="shared" si="5"/>
        <v>14.082031249469972</v>
      </c>
      <c r="I74" s="153">
        <f t="shared" si="20"/>
        <v>15.202428570079263</v>
      </c>
      <c r="J74" s="104">
        <f t="shared" si="2"/>
        <v>836.13357135435945</v>
      </c>
      <c r="K74" s="154">
        <f t="shared" si="11"/>
        <v>774.51171872084853</v>
      </c>
      <c r="L74" s="155">
        <f t="shared" si="22"/>
        <v>61.621852633510912</v>
      </c>
      <c r="M74" s="104">
        <f t="shared" si="7"/>
        <v>4.4122149601328617</v>
      </c>
      <c r="N74" s="156">
        <f t="shared" si="8"/>
        <v>66.034067593643769</v>
      </c>
      <c r="O74" s="104">
        <v>0</v>
      </c>
      <c r="P74" s="104">
        <v>0</v>
      </c>
      <c r="Q74" s="104">
        <v>0</v>
      </c>
      <c r="R74" s="156">
        <f t="shared" si="9"/>
        <v>66.034067593643769</v>
      </c>
    </row>
    <row r="75" spans="1:18" x14ac:dyDescent="0.2">
      <c r="A75" s="86">
        <v>8</v>
      </c>
      <c r="B75" s="150">
        <f t="shared" si="4"/>
        <v>45870</v>
      </c>
      <c r="C75" s="166">
        <f t="shared" si="21"/>
        <v>45904</v>
      </c>
      <c r="D75" s="166">
        <f t="shared" si="21"/>
        <v>45924</v>
      </c>
      <c r="E75" s="157" t="s">
        <v>82</v>
      </c>
      <c r="F75" s="86">
        <v>9</v>
      </c>
      <c r="G75" s="152">
        <v>55</v>
      </c>
      <c r="H75" s="153">
        <f t="shared" si="5"/>
        <v>14.082031249469972</v>
      </c>
      <c r="I75" s="153">
        <f t="shared" si="20"/>
        <v>15.202428570079263</v>
      </c>
      <c r="J75" s="104">
        <f t="shared" si="2"/>
        <v>836.13357135435945</v>
      </c>
      <c r="K75" s="154">
        <f t="shared" si="11"/>
        <v>774.51171872084853</v>
      </c>
      <c r="L75" s="155">
        <f t="shared" si="22"/>
        <v>61.621852633510912</v>
      </c>
      <c r="M75" s="104">
        <f t="shared" si="7"/>
        <v>4.4122149601328617</v>
      </c>
      <c r="N75" s="156">
        <f t="shared" si="8"/>
        <v>66.034067593643769</v>
      </c>
      <c r="O75" s="104">
        <v>0</v>
      </c>
      <c r="P75" s="104">
        <v>0</v>
      </c>
      <c r="Q75" s="104">
        <v>0</v>
      </c>
      <c r="R75" s="156">
        <f t="shared" si="9"/>
        <v>66.034067593643769</v>
      </c>
    </row>
    <row r="76" spans="1:18" x14ac:dyDescent="0.2">
      <c r="A76" s="86">
        <v>9</v>
      </c>
      <c r="B76" s="150">
        <f t="shared" si="4"/>
        <v>45901</v>
      </c>
      <c r="C76" s="166">
        <f t="shared" si="21"/>
        <v>45933</v>
      </c>
      <c r="D76" s="166">
        <f t="shared" si="21"/>
        <v>45954</v>
      </c>
      <c r="E76" s="157" t="s">
        <v>82</v>
      </c>
      <c r="F76" s="86">
        <v>9</v>
      </c>
      <c r="G76" s="152">
        <v>44</v>
      </c>
      <c r="H76" s="153">
        <f t="shared" si="5"/>
        <v>14.082031249469972</v>
      </c>
      <c r="I76" s="153">
        <f t="shared" si="20"/>
        <v>15.202428570079263</v>
      </c>
      <c r="J76" s="104">
        <f t="shared" si="2"/>
        <v>668.90685708348758</v>
      </c>
      <c r="K76" s="154">
        <f t="shared" si="11"/>
        <v>619.60937497667874</v>
      </c>
      <c r="L76" s="155">
        <f t="shared" si="22"/>
        <v>49.297482106808843</v>
      </c>
      <c r="M76" s="104">
        <f t="shared" si="7"/>
        <v>3.5297719681062891</v>
      </c>
      <c r="N76" s="156">
        <f t="shared" si="8"/>
        <v>52.827254074915132</v>
      </c>
      <c r="O76" s="104">
        <v>0</v>
      </c>
      <c r="P76" s="104">
        <v>0</v>
      </c>
      <c r="Q76" s="104">
        <v>0</v>
      </c>
      <c r="R76" s="156">
        <f t="shared" si="9"/>
        <v>52.827254074915132</v>
      </c>
    </row>
    <row r="77" spans="1:18" x14ac:dyDescent="0.2">
      <c r="A77" s="86">
        <v>10</v>
      </c>
      <c r="B77" s="150">
        <f t="shared" si="4"/>
        <v>45931</v>
      </c>
      <c r="C77" s="166">
        <f t="shared" si="21"/>
        <v>45966</v>
      </c>
      <c r="D77" s="166">
        <f t="shared" si="21"/>
        <v>45985</v>
      </c>
      <c r="E77" s="157" t="s">
        <v>82</v>
      </c>
      <c r="F77" s="86">
        <v>9</v>
      </c>
      <c r="G77" s="152">
        <v>34</v>
      </c>
      <c r="H77" s="153">
        <f t="shared" si="5"/>
        <v>14.082031249469972</v>
      </c>
      <c r="I77" s="153">
        <f t="shared" si="20"/>
        <v>15.202428570079263</v>
      </c>
      <c r="J77" s="104">
        <f t="shared" si="2"/>
        <v>516.88257138269501</v>
      </c>
      <c r="K77" s="154">
        <f t="shared" si="11"/>
        <v>478.78906248197904</v>
      </c>
      <c r="L77" s="155">
        <f t="shared" si="22"/>
        <v>38.09350890071596</v>
      </c>
      <c r="M77" s="104">
        <f t="shared" si="7"/>
        <v>2.7275510662639504</v>
      </c>
      <c r="N77" s="156">
        <f t="shared" si="8"/>
        <v>40.821059966979909</v>
      </c>
      <c r="O77" s="104">
        <v>0</v>
      </c>
      <c r="P77" s="104">
        <v>0</v>
      </c>
      <c r="Q77" s="104">
        <v>0</v>
      </c>
      <c r="R77" s="156">
        <f t="shared" si="9"/>
        <v>40.821059966979909</v>
      </c>
    </row>
    <row r="78" spans="1:18" x14ac:dyDescent="0.2">
      <c r="A78" s="86">
        <v>11</v>
      </c>
      <c r="B78" s="150">
        <f t="shared" si="4"/>
        <v>45962</v>
      </c>
      <c r="C78" s="166">
        <f t="shared" si="21"/>
        <v>45994</v>
      </c>
      <c r="D78" s="166">
        <f t="shared" si="21"/>
        <v>46015</v>
      </c>
      <c r="E78" s="157" t="s">
        <v>82</v>
      </c>
      <c r="F78" s="86">
        <v>9</v>
      </c>
      <c r="G78" s="152">
        <v>35</v>
      </c>
      <c r="H78" s="153">
        <f t="shared" si="5"/>
        <v>14.082031249469972</v>
      </c>
      <c r="I78" s="153">
        <f t="shared" si="20"/>
        <v>15.202428570079263</v>
      </c>
      <c r="J78" s="104">
        <f t="shared" si="2"/>
        <v>532.08499995277418</v>
      </c>
      <c r="K78" s="154">
        <f>+$G78*H78</f>
        <v>492.87109373144904</v>
      </c>
      <c r="L78" s="155">
        <f t="shared" si="22"/>
        <v>39.213906221325146</v>
      </c>
      <c r="M78" s="104">
        <f t="shared" si="7"/>
        <v>2.8077731564481843</v>
      </c>
      <c r="N78" s="156">
        <f t="shared" si="8"/>
        <v>42.021679377773332</v>
      </c>
      <c r="O78" s="104">
        <v>0</v>
      </c>
      <c r="P78" s="104">
        <v>0</v>
      </c>
      <c r="Q78" s="104">
        <v>0</v>
      </c>
      <c r="R78" s="156">
        <f t="shared" si="9"/>
        <v>42.021679377773332</v>
      </c>
    </row>
    <row r="79" spans="1:18" s="170" customFormat="1" x14ac:dyDescent="0.2">
      <c r="A79" s="86">
        <v>12</v>
      </c>
      <c r="B79" s="168">
        <f t="shared" si="4"/>
        <v>45992</v>
      </c>
      <c r="C79" s="171">
        <f t="shared" si="21"/>
        <v>46028</v>
      </c>
      <c r="D79" s="171">
        <f t="shared" si="21"/>
        <v>46048</v>
      </c>
      <c r="E79" s="172" t="s">
        <v>82</v>
      </c>
      <c r="F79" s="127">
        <v>9</v>
      </c>
      <c r="G79" s="190">
        <v>39</v>
      </c>
      <c r="H79" s="158">
        <f t="shared" si="5"/>
        <v>14.082031249469972</v>
      </c>
      <c r="I79" s="158">
        <f t="shared" si="20"/>
        <v>15.202428570079263</v>
      </c>
      <c r="J79" s="159">
        <f t="shared" si="2"/>
        <v>592.89471423309124</v>
      </c>
      <c r="K79" s="160">
        <f>+$G79*H79</f>
        <v>549.19921872932889</v>
      </c>
      <c r="L79" s="161">
        <f t="shared" si="22"/>
        <v>43.695495503762345</v>
      </c>
      <c r="M79" s="159">
        <f t="shared" si="7"/>
        <v>3.1286615171851198</v>
      </c>
      <c r="N79" s="191">
        <f t="shared" si="8"/>
        <v>46.824157020947467</v>
      </c>
      <c r="O79" s="159">
        <v>0</v>
      </c>
      <c r="P79" s="159">
        <v>0</v>
      </c>
      <c r="Q79" s="159">
        <v>0</v>
      </c>
      <c r="R79" s="191">
        <f t="shared" si="9"/>
        <v>46.824157020947467</v>
      </c>
    </row>
    <row r="80" spans="1:18" ht="12.75" customHeight="1" x14ac:dyDescent="0.2">
      <c r="A80" s="86">
        <v>1</v>
      </c>
      <c r="B80" s="150">
        <f t="shared" si="4"/>
        <v>45658</v>
      </c>
      <c r="C80" s="163">
        <f t="shared" ref="C80:D91" si="23">+C56</f>
        <v>45693</v>
      </c>
      <c r="D80" s="163">
        <f t="shared" si="23"/>
        <v>45712</v>
      </c>
      <c r="E80" s="151" t="s">
        <v>9</v>
      </c>
      <c r="F80" s="86">
        <v>9</v>
      </c>
      <c r="G80" s="152">
        <v>67</v>
      </c>
      <c r="H80" s="153">
        <f t="shared" si="5"/>
        <v>14.082031249469972</v>
      </c>
      <c r="I80" s="153">
        <f t="shared" si="20"/>
        <v>15.202428570079263</v>
      </c>
      <c r="J80" s="104">
        <f t="shared" si="2"/>
        <v>1018.5627141953106</v>
      </c>
      <c r="K80" s="154">
        <f t="shared" si="11"/>
        <v>943.4960937144881</v>
      </c>
      <c r="L80" s="155">
        <f t="shared" si="19"/>
        <v>75.066620480822507</v>
      </c>
      <c r="M80" s="104">
        <f t="shared" si="7"/>
        <v>5.3748800423436673</v>
      </c>
      <c r="N80" s="156">
        <f t="shared" si="8"/>
        <v>80.44150052316617</v>
      </c>
      <c r="O80" s="104">
        <v>0</v>
      </c>
      <c r="P80" s="104">
        <v>0</v>
      </c>
      <c r="Q80" s="104">
        <v>0</v>
      </c>
      <c r="R80" s="156">
        <f t="shared" si="9"/>
        <v>80.44150052316617</v>
      </c>
    </row>
    <row r="81" spans="1:18" x14ac:dyDescent="0.2">
      <c r="A81" s="86">
        <v>2</v>
      </c>
      <c r="B81" s="150">
        <f t="shared" si="4"/>
        <v>45689</v>
      </c>
      <c r="C81" s="166">
        <f t="shared" si="23"/>
        <v>45721</v>
      </c>
      <c r="D81" s="166">
        <f t="shared" si="23"/>
        <v>45740</v>
      </c>
      <c r="E81" s="157" t="s">
        <v>9</v>
      </c>
      <c r="F81" s="86">
        <v>9</v>
      </c>
      <c r="G81" s="152">
        <v>71</v>
      </c>
      <c r="H81" s="153">
        <f t="shared" si="5"/>
        <v>14.082031249469972</v>
      </c>
      <c r="I81" s="153">
        <f t="shared" si="20"/>
        <v>15.202428570079263</v>
      </c>
      <c r="J81" s="104">
        <f t="shared" si="2"/>
        <v>1079.3724284756277</v>
      </c>
      <c r="K81" s="154">
        <f t="shared" si="11"/>
        <v>999.82421871236807</v>
      </c>
      <c r="L81" s="155">
        <f t="shared" si="19"/>
        <v>79.548209763259592</v>
      </c>
      <c r="M81" s="104">
        <f t="shared" si="7"/>
        <v>5.6957684030806028</v>
      </c>
      <c r="N81" s="156">
        <f t="shared" si="8"/>
        <v>85.243978166340199</v>
      </c>
      <c r="O81" s="104">
        <v>0</v>
      </c>
      <c r="P81" s="104">
        <v>0</v>
      </c>
      <c r="Q81" s="104">
        <v>0</v>
      </c>
      <c r="R81" s="156">
        <f t="shared" si="9"/>
        <v>85.243978166340199</v>
      </c>
    </row>
    <row r="82" spans="1:18" x14ac:dyDescent="0.2">
      <c r="A82" s="86">
        <v>3</v>
      </c>
      <c r="B82" s="150">
        <f t="shared" si="4"/>
        <v>45717</v>
      </c>
      <c r="C82" s="166">
        <f t="shared" si="23"/>
        <v>45750</v>
      </c>
      <c r="D82" s="166">
        <f t="shared" si="23"/>
        <v>45771</v>
      </c>
      <c r="E82" s="157" t="s">
        <v>9</v>
      </c>
      <c r="F82" s="86">
        <v>9</v>
      </c>
      <c r="G82" s="152">
        <v>49</v>
      </c>
      <c r="H82" s="153">
        <f t="shared" si="5"/>
        <v>14.082031249469972</v>
      </c>
      <c r="I82" s="153">
        <f t="shared" si="20"/>
        <v>15.202428570079263</v>
      </c>
      <c r="J82" s="104">
        <f t="shared" si="2"/>
        <v>744.91899993388392</v>
      </c>
      <c r="K82" s="154">
        <f t="shared" si="11"/>
        <v>690.0195312240287</v>
      </c>
      <c r="L82" s="155">
        <f>+J82-K82</f>
        <v>54.899468709855228</v>
      </c>
      <c r="M82" s="104">
        <f t="shared" si="7"/>
        <v>3.9308824190274581</v>
      </c>
      <c r="N82" s="156">
        <f t="shared" si="8"/>
        <v>58.830351128882683</v>
      </c>
      <c r="O82" s="104">
        <v>0</v>
      </c>
      <c r="P82" s="104">
        <v>0</v>
      </c>
      <c r="Q82" s="104">
        <v>0</v>
      </c>
      <c r="R82" s="156">
        <f t="shared" si="9"/>
        <v>58.830351128882683</v>
      </c>
    </row>
    <row r="83" spans="1:18" ht="12" customHeight="1" x14ac:dyDescent="0.2">
      <c r="A83" s="86">
        <v>4</v>
      </c>
      <c r="B83" s="150">
        <f t="shared" si="4"/>
        <v>45748</v>
      </c>
      <c r="C83" s="166">
        <f t="shared" si="23"/>
        <v>45782</v>
      </c>
      <c r="D83" s="166">
        <f t="shared" si="23"/>
        <v>45803</v>
      </c>
      <c r="E83" s="1" t="s">
        <v>9</v>
      </c>
      <c r="F83" s="86">
        <v>9</v>
      </c>
      <c r="G83" s="152">
        <v>37</v>
      </c>
      <c r="H83" s="153">
        <f t="shared" si="5"/>
        <v>14.082031249469972</v>
      </c>
      <c r="I83" s="153">
        <f t="shared" si="20"/>
        <v>15.202428570079263</v>
      </c>
      <c r="J83" s="104">
        <f t="shared" si="2"/>
        <v>562.48985709293277</v>
      </c>
      <c r="K83" s="154">
        <f t="shared" si="11"/>
        <v>521.03515623038902</v>
      </c>
      <c r="L83" s="155">
        <f t="shared" ref="L83:L93" si="24">+J83-K83</f>
        <v>41.454700862543746</v>
      </c>
      <c r="M83" s="104">
        <f t="shared" si="7"/>
        <v>2.968217336816652</v>
      </c>
      <c r="N83" s="156">
        <f t="shared" si="8"/>
        <v>44.422918199360396</v>
      </c>
      <c r="O83" s="104">
        <v>0</v>
      </c>
      <c r="P83" s="104">
        <v>0</v>
      </c>
      <c r="Q83" s="104">
        <v>0</v>
      </c>
      <c r="R83" s="156">
        <f t="shared" si="9"/>
        <v>44.422918199360396</v>
      </c>
    </row>
    <row r="84" spans="1:18" ht="12" customHeight="1" x14ac:dyDescent="0.2">
      <c r="A84" s="86">
        <v>5</v>
      </c>
      <c r="B84" s="150">
        <f t="shared" si="4"/>
        <v>45778</v>
      </c>
      <c r="C84" s="166">
        <f t="shared" si="23"/>
        <v>45812</v>
      </c>
      <c r="D84" s="166">
        <f t="shared" si="23"/>
        <v>45832</v>
      </c>
      <c r="E84" s="1" t="s">
        <v>9</v>
      </c>
      <c r="F84" s="86">
        <v>9</v>
      </c>
      <c r="G84" s="152">
        <v>50</v>
      </c>
      <c r="H84" s="153">
        <f t="shared" si="5"/>
        <v>14.082031249469972</v>
      </c>
      <c r="I84" s="153">
        <f t="shared" si="20"/>
        <v>15.202428570079263</v>
      </c>
      <c r="J84" s="104">
        <f t="shared" si="2"/>
        <v>760.12142850396322</v>
      </c>
      <c r="K84" s="154">
        <f t="shared" si="11"/>
        <v>704.10156247349857</v>
      </c>
      <c r="L84" s="155">
        <f t="shared" si="24"/>
        <v>56.019866030464641</v>
      </c>
      <c r="M84" s="104">
        <f t="shared" si="7"/>
        <v>4.0111045092116919</v>
      </c>
      <c r="N84" s="156">
        <f t="shared" si="8"/>
        <v>60.030970539676332</v>
      </c>
      <c r="O84" s="104">
        <v>0</v>
      </c>
      <c r="P84" s="104">
        <v>0</v>
      </c>
      <c r="Q84" s="104">
        <v>0</v>
      </c>
      <c r="R84" s="156">
        <f t="shared" si="9"/>
        <v>60.030970539676332</v>
      </c>
    </row>
    <row r="85" spans="1:18" x14ac:dyDescent="0.2">
      <c r="A85" s="86">
        <v>6</v>
      </c>
      <c r="B85" s="150">
        <f t="shared" si="4"/>
        <v>45809</v>
      </c>
      <c r="C85" s="166">
        <f t="shared" si="23"/>
        <v>45841</v>
      </c>
      <c r="D85" s="166">
        <f t="shared" si="23"/>
        <v>45862</v>
      </c>
      <c r="E85" s="1" t="s">
        <v>9</v>
      </c>
      <c r="F85" s="86">
        <v>9</v>
      </c>
      <c r="G85" s="152">
        <v>54</v>
      </c>
      <c r="H85" s="153">
        <f t="shared" ref="H85:H148" si="25">+$K$3</f>
        <v>14.082031249469972</v>
      </c>
      <c r="I85" s="153">
        <f t="shared" si="20"/>
        <v>15.202428570079263</v>
      </c>
      <c r="J85" s="104">
        <f t="shared" si="2"/>
        <v>820.93114278428015</v>
      </c>
      <c r="K85" s="154">
        <f t="shared" si="11"/>
        <v>760.42968747137854</v>
      </c>
      <c r="L85" s="155">
        <f t="shared" si="24"/>
        <v>60.501455312901612</v>
      </c>
      <c r="M85" s="104">
        <f t="shared" ref="M85:M148" si="26">G85/$G$212*$M$14</f>
        <v>4.3319928699486274</v>
      </c>
      <c r="N85" s="156">
        <f t="shared" ref="N85:N148" si="27">SUM(L85:M85)</f>
        <v>64.833448182850233</v>
      </c>
      <c r="O85" s="104">
        <v>0</v>
      </c>
      <c r="P85" s="104">
        <v>0</v>
      </c>
      <c r="Q85" s="104">
        <v>0</v>
      </c>
      <c r="R85" s="156">
        <f t="shared" ref="R85:R148" si="28">+N85-Q85</f>
        <v>64.833448182850233</v>
      </c>
    </row>
    <row r="86" spans="1:18" x14ac:dyDescent="0.2">
      <c r="A86" s="86">
        <v>7</v>
      </c>
      <c r="B86" s="150">
        <f t="shared" si="4"/>
        <v>45839</v>
      </c>
      <c r="C86" s="166">
        <f t="shared" si="23"/>
        <v>45874</v>
      </c>
      <c r="D86" s="166">
        <f t="shared" si="23"/>
        <v>45894</v>
      </c>
      <c r="E86" s="1" t="s">
        <v>9</v>
      </c>
      <c r="F86" s="86">
        <v>9</v>
      </c>
      <c r="G86" s="152">
        <v>62</v>
      </c>
      <c r="H86" s="153">
        <f t="shared" si="25"/>
        <v>14.082031249469972</v>
      </c>
      <c r="I86" s="153">
        <f t="shared" si="20"/>
        <v>15.202428570079263</v>
      </c>
      <c r="J86" s="104">
        <f t="shared" si="2"/>
        <v>942.55057134491426</v>
      </c>
      <c r="K86" s="154">
        <f t="shared" si="11"/>
        <v>873.08593746713825</v>
      </c>
      <c r="L86" s="155">
        <f t="shared" si="24"/>
        <v>69.464633877776009</v>
      </c>
      <c r="M86" s="104">
        <f t="shared" si="26"/>
        <v>4.9737695914224975</v>
      </c>
      <c r="N86" s="156">
        <f t="shared" si="27"/>
        <v>74.438403469198505</v>
      </c>
      <c r="O86" s="104">
        <v>0</v>
      </c>
      <c r="P86" s="104">
        <v>0</v>
      </c>
      <c r="Q86" s="104">
        <v>0</v>
      </c>
      <c r="R86" s="156">
        <f t="shared" si="28"/>
        <v>74.438403469198505</v>
      </c>
    </row>
    <row r="87" spans="1:18" x14ac:dyDescent="0.2">
      <c r="A87" s="86">
        <v>8</v>
      </c>
      <c r="B87" s="150">
        <f t="shared" si="4"/>
        <v>45870</v>
      </c>
      <c r="C87" s="166">
        <f t="shared" si="23"/>
        <v>45904</v>
      </c>
      <c r="D87" s="166">
        <f t="shared" si="23"/>
        <v>45924</v>
      </c>
      <c r="E87" s="1" t="s">
        <v>9</v>
      </c>
      <c r="F87" s="86">
        <v>9</v>
      </c>
      <c r="G87" s="152">
        <v>55</v>
      </c>
      <c r="H87" s="153">
        <f t="shared" si="25"/>
        <v>14.082031249469972</v>
      </c>
      <c r="I87" s="153">
        <f t="shared" si="20"/>
        <v>15.202428570079263</v>
      </c>
      <c r="J87" s="104">
        <f t="shared" si="2"/>
        <v>836.13357135435945</v>
      </c>
      <c r="K87" s="154">
        <f t="shared" si="11"/>
        <v>774.51171872084853</v>
      </c>
      <c r="L87" s="155">
        <f t="shared" si="24"/>
        <v>61.621852633510912</v>
      </c>
      <c r="M87" s="104">
        <f t="shared" si="26"/>
        <v>4.4122149601328617</v>
      </c>
      <c r="N87" s="156">
        <f t="shared" si="27"/>
        <v>66.034067593643769</v>
      </c>
      <c r="O87" s="104">
        <v>0</v>
      </c>
      <c r="P87" s="104">
        <v>0</v>
      </c>
      <c r="Q87" s="104">
        <v>0</v>
      </c>
      <c r="R87" s="156">
        <f t="shared" si="28"/>
        <v>66.034067593643769</v>
      </c>
    </row>
    <row r="88" spans="1:18" x14ac:dyDescent="0.2">
      <c r="A88" s="86">
        <v>9</v>
      </c>
      <c r="B88" s="150">
        <f t="shared" si="4"/>
        <v>45901</v>
      </c>
      <c r="C88" s="166">
        <f t="shared" si="23"/>
        <v>45933</v>
      </c>
      <c r="D88" s="166">
        <f t="shared" si="23"/>
        <v>45954</v>
      </c>
      <c r="E88" s="1" t="s">
        <v>9</v>
      </c>
      <c r="F88" s="86">
        <v>9</v>
      </c>
      <c r="G88" s="152">
        <v>50</v>
      </c>
      <c r="H88" s="153">
        <f t="shared" si="25"/>
        <v>14.082031249469972</v>
      </c>
      <c r="I88" s="153">
        <f t="shared" si="20"/>
        <v>15.202428570079263</v>
      </c>
      <c r="J88" s="104">
        <f t="shared" si="2"/>
        <v>760.12142850396322</v>
      </c>
      <c r="K88" s="154">
        <f t="shared" si="11"/>
        <v>704.10156247349857</v>
      </c>
      <c r="L88" s="155">
        <f t="shared" si="24"/>
        <v>56.019866030464641</v>
      </c>
      <c r="M88" s="104">
        <f t="shared" si="26"/>
        <v>4.0111045092116919</v>
      </c>
      <c r="N88" s="156">
        <f t="shared" si="27"/>
        <v>60.030970539676332</v>
      </c>
      <c r="O88" s="104">
        <v>0</v>
      </c>
      <c r="P88" s="104">
        <v>0</v>
      </c>
      <c r="Q88" s="104">
        <v>0</v>
      </c>
      <c r="R88" s="156">
        <f t="shared" si="28"/>
        <v>60.030970539676332</v>
      </c>
    </row>
    <row r="89" spans="1:18" x14ac:dyDescent="0.2">
      <c r="A89" s="86">
        <v>10</v>
      </c>
      <c r="B89" s="150">
        <f t="shared" si="4"/>
        <v>45931</v>
      </c>
      <c r="C89" s="166">
        <f t="shared" si="23"/>
        <v>45966</v>
      </c>
      <c r="D89" s="166">
        <f t="shared" si="23"/>
        <v>45985</v>
      </c>
      <c r="E89" s="1" t="s">
        <v>9</v>
      </c>
      <c r="F89" s="86">
        <v>9</v>
      </c>
      <c r="G89" s="152">
        <v>47</v>
      </c>
      <c r="H89" s="153">
        <f t="shared" si="25"/>
        <v>14.082031249469972</v>
      </c>
      <c r="I89" s="153">
        <f t="shared" si="20"/>
        <v>15.202428570079263</v>
      </c>
      <c r="J89" s="104">
        <f t="shared" si="2"/>
        <v>714.51414279372534</v>
      </c>
      <c r="K89" s="154">
        <f t="shared" si="11"/>
        <v>661.85546872508871</v>
      </c>
      <c r="L89" s="155">
        <f t="shared" si="24"/>
        <v>52.658674068636628</v>
      </c>
      <c r="M89" s="104">
        <f t="shared" si="26"/>
        <v>3.7704382386589903</v>
      </c>
      <c r="N89" s="156">
        <f t="shared" si="27"/>
        <v>56.429112307295618</v>
      </c>
      <c r="O89" s="104">
        <v>0</v>
      </c>
      <c r="P89" s="104">
        <v>0</v>
      </c>
      <c r="Q89" s="104">
        <v>0</v>
      </c>
      <c r="R89" s="156">
        <f t="shared" si="28"/>
        <v>56.429112307295618</v>
      </c>
    </row>
    <row r="90" spans="1:18" x14ac:dyDescent="0.2">
      <c r="A90" s="86">
        <v>11</v>
      </c>
      <c r="B90" s="150">
        <f t="shared" si="4"/>
        <v>45962</v>
      </c>
      <c r="C90" s="166">
        <f t="shared" si="23"/>
        <v>45994</v>
      </c>
      <c r="D90" s="166">
        <f t="shared" si="23"/>
        <v>46015</v>
      </c>
      <c r="E90" s="1" t="s">
        <v>9</v>
      </c>
      <c r="F90" s="86">
        <v>9</v>
      </c>
      <c r="G90" s="152">
        <v>48</v>
      </c>
      <c r="H90" s="153">
        <f t="shared" si="25"/>
        <v>14.082031249469972</v>
      </c>
      <c r="I90" s="153">
        <f t="shared" si="20"/>
        <v>15.202428570079263</v>
      </c>
      <c r="J90" s="104">
        <f t="shared" si="2"/>
        <v>729.71657136380463</v>
      </c>
      <c r="K90" s="154">
        <f t="shared" si="11"/>
        <v>675.9374999745587</v>
      </c>
      <c r="L90" s="155">
        <f t="shared" si="24"/>
        <v>53.779071389245928</v>
      </c>
      <c r="M90" s="104">
        <f t="shared" si="26"/>
        <v>3.8506603288432242</v>
      </c>
      <c r="N90" s="156">
        <f t="shared" si="27"/>
        <v>57.629731718089154</v>
      </c>
      <c r="O90" s="104">
        <v>0</v>
      </c>
      <c r="P90" s="104">
        <v>0</v>
      </c>
      <c r="Q90" s="104">
        <v>0</v>
      </c>
      <c r="R90" s="156">
        <f t="shared" si="28"/>
        <v>57.629731718089154</v>
      </c>
    </row>
    <row r="91" spans="1:18" s="170" customFormat="1" x14ac:dyDescent="0.2">
      <c r="A91" s="86">
        <v>12</v>
      </c>
      <c r="B91" s="168">
        <f t="shared" si="4"/>
        <v>45992</v>
      </c>
      <c r="C91" s="166">
        <f t="shared" si="23"/>
        <v>46028</v>
      </c>
      <c r="D91" s="166">
        <f t="shared" si="23"/>
        <v>46048</v>
      </c>
      <c r="E91" s="169" t="s">
        <v>9</v>
      </c>
      <c r="F91" s="127">
        <v>9</v>
      </c>
      <c r="G91" s="190">
        <v>58</v>
      </c>
      <c r="H91" s="158">
        <f t="shared" si="25"/>
        <v>14.082031249469972</v>
      </c>
      <c r="I91" s="158">
        <f t="shared" si="20"/>
        <v>15.202428570079263</v>
      </c>
      <c r="J91" s="159">
        <f t="shared" si="2"/>
        <v>881.74085706459732</v>
      </c>
      <c r="K91" s="160">
        <f t="shared" si="11"/>
        <v>816.7578124692584</v>
      </c>
      <c r="L91" s="161">
        <f t="shared" si="24"/>
        <v>64.983044595338924</v>
      </c>
      <c r="M91" s="159">
        <f t="shared" si="26"/>
        <v>4.6528812306855629</v>
      </c>
      <c r="N91" s="191">
        <f t="shared" si="27"/>
        <v>69.63592582602449</v>
      </c>
      <c r="O91" s="159">
        <v>0</v>
      </c>
      <c r="P91" s="159">
        <v>0</v>
      </c>
      <c r="Q91" s="159">
        <v>0</v>
      </c>
      <c r="R91" s="191">
        <f t="shared" si="28"/>
        <v>69.63592582602449</v>
      </c>
    </row>
    <row r="92" spans="1:18" x14ac:dyDescent="0.2">
      <c r="A92" s="86">
        <v>1</v>
      </c>
      <c r="B92" s="150">
        <f t="shared" si="4"/>
        <v>45658</v>
      </c>
      <c r="C92" s="163">
        <f t="shared" ref="C92:D95" si="29">+C80</f>
        <v>45693</v>
      </c>
      <c r="D92" s="163">
        <f t="shared" si="29"/>
        <v>45712</v>
      </c>
      <c r="E92" s="151" t="s">
        <v>8</v>
      </c>
      <c r="F92" s="86">
        <v>9</v>
      </c>
      <c r="G92" s="152">
        <v>89</v>
      </c>
      <c r="H92" s="153">
        <f t="shared" si="25"/>
        <v>14.082031249469972</v>
      </c>
      <c r="I92" s="153">
        <f t="shared" si="20"/>
        <v>15.202428570079263</v>
      </c>
      <c r="J92" s="104">
        <f t="shared" si="2"/>
        <v>1353.0161427370545</v>
      </c>
      <c r="K92" s="154">
        <f t="shared" si="11"/>
        <v>1253.3007812028275</v>
      </c>
      <c r="L92" s="155">
        <f t="shared" si="24"/>
        <v>99.715361534226986</v>
      </c>
      <c r="M92" s="104">
        <f t="shared" si="26"/>
        <v>7.1397660263968108</v>
      </c>
      <c r="N92" s="156">
        <f t="shared" si="27"/>
        <v>106.8551275606238</v>
      </c>
      <c r="O92" s="104">
        <v>0</v>
      </c>
      <c r="P92" s="104">
        <v>0</v>
      </c>
      <c r="Q92" s="104">
        <v>0</v>
      </c>
      <c r="R92" s="156">
        <f t="shared" si="28"/>
        <v>106.8551275606238</v>
      </c>
    </row>
    <row r="93" spans="1:18" x14ac:dyDescent="0.2">
      <c r="A93" s="86">
        <v>2</v>
      </c>
      <c r="B93" s="150">
        <f t="shared" si="4"/>
        <v>45689</v>
      </c>
      <c r="C93" s="166">
        <f t="shared" si="29"/>
        <v>45721</v>
      </c>
      <c r="D93" s="166">
        <f t="shared" si="29"/>
        <v>45740</v>
      </c>
      <c r="E93" s="157" t="s">
        <v>8</v>
      </c>
      <c r="F93" s="86">
        <v>9</v>
      </c>
      <c r="G93" s="152">
        <v>102</v>
      </c>
      <c r="H93" s="153">
        <f t="shared" si="25"/>
        <v>14.082031249469972</v>
      </c>
      <c r="I93" s="153">
        <f t="shared" si="20"/>
        <v>15.202428570079263</v>
      </c>
      <c r="J93" s="104">
        <f t="shared" si="2"/>
        <v>1550.6477141480848</v>
      </c>
      <c r="K93" s="154">
        <f t="shared" si="11"/>
        <v>1436.3671874459371</v>
      </c>
      <c r="L93" s="155">
        <f t="shared" si="24"/>
        <v>114.28052670214765</v>
      </c>
      <c r="M93" s="104">
        <f t="shared" si="26"/>
        <v>8.1826531987918507</v>
      </c>
      <c r="N93" s="156">
        <f t="shared" si="27"/>
        <v>122.46317990093951</v>
      </c>
      <c r="O93" s="104">
        <v>0</v>
      </c>
      <c r="P93" s="104">
        <v>0</v>
      </c>
      <c r="Q93" s="104">
        <v>0</v>
      </c>
      <c r="R93" s="156">
        <f t="shared" si="28"/>
        <v>122.46317990093951</v>
      </c>
    </row>
    <row r="94" spans="1:18" x14ac:dyDescent="0.2">
      <c r="A94" s="86">
        <v>3</v>
      </c>
      <c r="B94" s="150">
        <f t="shared" si="4"/>
        <v>45717</v>
      </c>
      <c r="C94" s="166">
        <f t="shared" si="29"/>
        <v>45750</v>
      </c>
      <c r="D94" s="166">
        <f t="shared" si="29"/>
        <v>45771</v>
      </c>
      <c r="E94" s="157" t="s">
        <v>8</v>
      </c>
      <c r="F94" s="86">
        <v>9</v>
      </c>
      <c r="G94" s="152">
        <v>64</v>
      </c>
      <c r="H94" s="153">
        <f t="shared" si="25"/>
        <v>14.082031249469972</v>
      </c>
      <c r="I94" s="153">
        <f t="shared" si="20"/>
        <v>15.202428570079263</v>
      </c>
      <c r="J94" s="104">
        <f t="shared" si="2"/>
        <v>972.95542848507284</v>
      </c>
      <c r="K94" s="154">
        <f t="shared" ref="K94:K133" si="30">+$G94*H94</f>
        <v>901.24999996607824</v>
      </c>
      <c r="L94" s="155">
        <f>+J94-K94</f>
        <v>71.705428518994609</v>
      </c>
      <c r="M94" s="104">
        <f t="shared" si="26"/>
        <v>5.1342137717909653</v>
      </c>
      <c r="N94" s="156">
        <f t="shared" si="27"/>
        <v>76.839642290785577</v>
      </c>
      <c r="O94" s="104">
        <v>0</v>
      </c>
      <c r="P94" s="104">
        <v>0</v>
      </c>
      <c r="Q94" s="104">
        <v>0</v>
      </c>
      <c r="R94" s="156">
        <f t="shared" si="28"/>
        <v>76.839642290785577</v>
      </c>
    </row>
    <row r="95" spans="1:18" x14ac:dyDescent="0.2">
      <c r="A95" s="86">
        <v>4</v>
      </c>
      <c r="B95" s="150">
        <f t="shared" si="4"/>
        <v>45748</v>
      </c>
      <c r="C95" s="166">
        <f t="shared" si="29"/>
        <v>45782</v>
      </c>
      <c r="D95" s="166">
        <f t="shared" si="29"/>
        <v>45803</v>
      </c>
      <c r="E95" s="157" t="s">
        <v>8</v>
      </c>
      <c r="F95" s="86">
        <v>9</v>
      </c>
      <c r="G95" s="152">
        <v>71</v>
      </c>
      <c r="H95" s="153">
        <f t="shared" si="25"/>
        <v>14.082031249469972</v>
      </c>
      <c r="I95" s="153">
        <f t="shared" si="20"/>
        <v>15.202428570079263</v>
      </c>
      <c r="J95" s="104">
        <f t="shared" si="2"/>
        <v>1079.3724284756277</v>
      </c>
      <c r="K95" s="154">
        <f t="shared" si="30"/>
        <v>999.82421871236807</v>
      </c>
      <c r="L95" s="155">
        <f t="shared" ref="L95:L105" si="31">+J95-K95</f>
        <v>79.548209763259592</v>
      </c>
      <c r="M95" s="104">
        <f t="shared" si="26"/>
        <v>5.6957684030806028</v>
      </c>
      <c r="N95" s="156">
        <f t="shared" si="27"/>
        <v>85.243978166340199</v>
      </c>
      <c r="O95" s="104">
        <v>0</v>
      </c>
      <c r="P95" s="104">
        <v>0</v>
      </c>
      <c r="Q95" s="104">
        <v>0</v>
      </c>
      <c r="R95" s="156">
        <f t="shared" si="28"/>
        <v>85.243978166340199</v>
      </c>
    </row>
    <row r="96" spans="1:18" x14ac:dyDescent="0.2">
      <c r="A96" s="86">
        <v>5</v>
      </c>
      <c r="B96" s="150">
        <f t="shared" si="4"/>
        <v>45778</v>
      </c>
      <c r="C96" s="166">
        <f t="shared" ref="C96:D116" si="32">+C84</f>
        <v>45812</v>
      </c>
      <c r="D96" s="166">
        <f t="shared" si="32"/>
        <v>45832</v>
      </c>
      <c r="E96" s="1" t="s">
        <v>8</v>
      </c>
      <c r="F96" s="86">
        <v>9</v>
      </c>
      <c r="G96" s="152">
        <v>108</v>
      </c>
      <c r="H96" s="153">
        <f t="shared" si="25"/>
        <v>14.082031249469972</v>
      </c>
      <c r="I96" s="153">
        <f t="shared" si="20"/>
        <v>15.202428570079263</v>
      </c>
      <c r="J96" s="104">
        <f t="shared" si="2"/>
        <v>1641.8622855685603</v>
      </c>
      <c r="K96" s="154">
        <f t="shared" si="30"/>
        <v>1520.8593749427571</v>
      </c>
      <c r="L96" s="155">
        <f t="shared" si="31"/>
        <v>121.00291062580322</v>
      </c>
      <c r="M96" s="104">
        <f t="shared" si="26"/>
        <v>8.6639857398972548</v>
      </c>
      <c r="N96" s="156">
        <f t="shared" si="27"/>
        <v>129.66689636570047</v>
      </c>
      <c r="O96" s="104">
        <v>0</v>
      </c>
      <c r="P96" s="104">
        <v>0</v>
      </c>
      <c r="Q96" s="104">
        <v>0</v>
      </c>
      <c r="R96" s="156">
        <f t="shared" si="28"/>
        <v>129.66689636570047</v>
      </c>
    </row>
    <row r="97" spans="1:18" x14ac:dyDescent="0.2">
      <c r="A97" s="86">
        <v>6</v>
      </c>
      <c r="B97" s="150">
        <f t="shared" si="4"/>
        <v>45809</v>
      </c>
      <c r="C97" s="166">
        <f t="shared" si="32"/>
        <v>45841</v>
      </c>
      <c r="D97" s="166">
        <f t="shared" si="32"/>
        <v>45862</v>
      </c>
      <c r="E97" s="1" t="s">
        <v>8</v>
      </c>
      <c r="F97" s="86">
        <v>9</v>
      </c>
      <c r="G97" s="152">
        <v>130</v>
      </c>
      <c r="H97" s="153">
        <f t="shared" si="25"/>
        <v>14.082031249469972</v>
      </c>
      <c r="I97" s="153">
        <f t="shared" si="20"/>
        <v>15.202428570079263</v>
      </c>
      <c r="J97" s="104">
        <f t="shared" si="2"/>
        <v>1976.3157141103043</v>
      </c>
      <c r="K97" s="154">
        <f t="shared" si="30"/>
        <v>1830.6640624310965</v>
      </c>
      <c r="L97" s="155">
        <f t="shared" si="31"/>
        <v>145.65165167920782</v>
      </c>
      <c r="M97" s="104">
        <f t="shared" si="26"/>
        <v>10.428871723950397</v>
      </c>
      <c r="N97" s="156">
        <f t="shared" si="27"/>
        <v>156.08052340315822</v>
      </c>
      <c r="O97" s="104">
        <v>0</v>
      </c>
      <c r="P97" s="104">
        <v>0</v>
      </c>
      <c r="Q97" s="104">
        <v>0</v>
      </c>
      <c r="R97" s="156">
        <f t="shared" si="28"/>
        <v>156.08052340315822</v>
      </c>
    </row>
    <row r="98" spans="1:18" x14ac:dyDescent="0.2">
      <c r="A98" s="86">
        <v>7</v>
      </c>
      <c r="B98" s="150">
        <f t="shared" si="4"/>
        <v>45839</v>
      </c>
      <c r="C98" s="166">
        <f t="shared" si="32"/>
        <v>45874</v>
      </c>
      <c r="D98" s="166">
        <f t="shared" si="32"/>
        <v>45894</v>
      </c>
      <c r="E98" s="1" t="s">
        <v>8</v>
      </c>
      <c r="F98" s="86">
        <v>9</v>
      </c>
      <c r="G98" s="152">
        <v>151</v>
      </c>
      <c r="H98" s="153">
        <f t="shared" si="25"/>
        <v>14.082031249469972</v>
      </c>
      <c r="I98" s="153">
        <f t="shared" si="20"/>
        <v>15.202428570079263</v>
      </c>
      <c r="J98" s="104">
        <f t="shared" si="2"/>
        <v>2295.5667140819687</v>
      </c>
      <c r="K98" s="154">
        <f t="shared" si="30"/>
        <v>2126.3867186699658</v>
      </c>
      <c r="L98" s="155">
        <f t="shared" si="31"/>
        <v>169.17999541200288</v>
      </c>
      <c r="M98" s="104">
        <f t="shared" si="26"/>
        <v>12.113535617819309</v>
      </c>
      <c r="N98" s="156">
        <f t="shared" si="27"/>
        <v>181.29353102982219</v>
      </c>
      <c r="O98" s="104">
        <v>0</v>
      </c>
      <c r="P98" s="104">
        <v>0</v>
      </c>
      <c r="Q98" s="104">
        <v>0</v>
      </c>
      <c r="R98" s="156">
        <f t="shared" si="28"/>
        <v>181.29353102982219</v>
      </c>
    </row>
    <row r="99" spans="1:18" x14ac:dyDescent="0.2">
      <c r="A99" s="86">
        <v>8</v>
      </c>
      <c r="B99" s="150">
        <f t="shared" si="4"/>
        <v>45870</v>
      </c>
      <c r="C99" s="166">
        <f t="shared" si="32"/>
        <v>45904</v>
      </c>
      <c r="D99" s="166">
        <f t="shared" si="32"/>
        <v>45924</v>
      </c>
      <c r="E99" s="1" t="s">
        <v>8</v>
      </c>
      <c r="F99" s="86">
        <v>9</v>
      </c>
      <c r="G99" s="152">
        <v>145</v>
      </c>
      <c r="H99" s="153">
        <f t="shared" si="25"/>
        <v>14.082031249469972</v>
      </c>
      <c r="I99" s="153">
        <f t="shared" si="20"/>
        <v>15.202428570079263</v>
      </c>
      <c r="J99" s="104">
        <f t="shared" si="2"/>
        <v>2204.352142661493</v>
      </c>
      <c r="K99" s="154">
        <f t="shared" si="30"/>
        <v>2041.8945311731461</v>
      </c>
      <c r="L99" s="155">
        <f t="shared" si="31"/>
        <v>162.45761148834686</v>
      </c>
      <c r="M99" s="104">
        <f t="shared" si="26"/>
        <v>11.632203076713905</v>
      </c>
      <c r="N99" s="156">
        <f t="shared" si="27"/>
        <v>174.08981456506075</v>
      </c>
      <c r="O99" s="104">
        <v>0</v>
      </c>
      <c r="P99" s="104">
        <v>0</v>
      </c>
      <c r="Q99" s="104">
        <v>0</v>
      </c>
      <c r="R99" s="156">
        <f t="shared" si="28"/>
        <v>174.08981456506075</v>
      </c>
    </row>
    <row r="100" spans="1:18" x14ac:dyDescent="0.2">
      <c r="A100" s="86">
        <v>9</v>
      </c>
      <c r="B100" s="150">
        <f t="shared" si="4"/>
        <v>45901</v>
      </c>
      <c r="C100" s="166">
        <f t="shared" si="32"/>
        <v>45933</v>
      </c>
      <c r="D100" s="166">
        <f t="shared" si="32"/>
        <v>45954</v>
      </c>
      <c r="E100" s="1" t="s">
        <v>8</v>
      </c>
      <c r="F100" s="86">
        <v>9</v>
      </c>
      <c r="G100" s="152">
        <v>126</v>
      </c>
      <c r="H100" s="153">
        <f t="shared" si="25"/>
        <v>14.082031249469972</v>
      </c>
      <c r="I100" s="153">
        <f t="shared" si="20"/>
        <v>15.202428570079263</v>
      </c>
      <c r="J100" s="104">
        <f t="shared" si="2"/>
        <v>1915.5059998299871</v>
      </c>
      <c r="K100" s="154">
        <f t="shared" si="30"/>
        <v>1774.3359374332165</v>
      </c>
      <c r="L100" s="155">
        <f t="shared" si="31"/>
        <v>141.17006239677062</v>
      </c>
      <c r="M100" s="104">
        <f t="shared" si="26"/>
        <v>10.107983363213464</v>
      </c>
      <c r="N100" s="156">
        <f t="shared" si="27"/>
        <v>151.27804575998408</v>
      </c>
      <c r="O100" s="104">
        <v>0</v>
      </c>
      <c r="P100" s="104">
        <v>0</v>
      </c>
      <c r="Q100" s="104">
        <v>0</v>
      </c>
      <c r="R100" s="156">
        <f t="shared" si="28"/>
        <v>151.27804575998408</v>
      </c>
    </row>
    <row r="101" spans="1:18" x14ac:dyDescent="0.2">
      <c r="A101" s="86">
        <v>10</v>
      </c>
      <c r="B101" s="150">
        <f t="shared" si="4"/>
        <v>45931</v>
      </c>
      <c r="C101" s="166">
        <f t="shared" si="32"/>
        <v>45966</v>
      </c>
      <c r="D101" s="166">
        <f t="shared" si="32"/>
        <v>45985</v>
      </c>
      <c r="E101" s="1" t="s">
        <v>8</v>
      </c>
      <c r="F101" s="86">
        <v>9</v>
      </c>
      <c r="G101" s="152">
        <v>106</v>
      </c>
      <c r="H101" s="153">
        <f t="shared" si="25"/>
        <v>14.082031249469972</v>
      </c>
      <c r="I101" s="153">
        <f t="shared" si="20"/>
        <v>15.202428570079263</v>
      </c>
      <c r="J101" s="104">
        <f t="shared" si="2"/>
        <v>1611.457428428402</v>
      </c>
      <c r="K101" s="154">
        <f t="shared" si="30"/>
        <v>1492.6953124438171</v>
      </c>
      <c r="L101" s="155">
        <f t="shared" si="31"/>
        <v>118.76211598458485</v>
      </c>
      <c r="M101" s="104">
        <f t="shared" si="26"/>
        <v>8.5035415595287862</v>
      </c>
      <c r="N101" s="156">
        <f t="shared" si="27"/>
        <v>127.26565754411364</v>
      </c>
      <c r="O101" s="104">
        <v>0</v>
      </c>
      <c r="P101" s="104">
        <v>0</v>
      </c>
      <c r="Q101" s="104">
        <v>0</v>
      </c>
      <c r="R101" s="156">
        <f t="shared" si="28"/>
        <v>127.26565754411364</v>
      </c>
    </row>
    <row r="102" spans="1:18" x14ac:dyDescent="0.2">
      <c r="A102" s="86">
        <v>11</v>
      </c>
      <c r="B102" s="150">
        <f t="shared" si="4"/>
        <v>45962</v>
      </c>
      <c r="C102" s="166">
        <f t="shared" si="32"/>
        <v>45994</v>
      </c>
      <c r="D102" s="166">
        <f t="shared" si="32"/>
        <v>46015</v>
      </c>
      <c r="E102" s="1" t="s">
        <v>8</v>
      </c>
      <c r="F102" s="86">
        <v>9</v>
      </c>
      <c r="G102" s="152">
        <v>67</v>
      </c>
      <c r="H102" s="153">
        <f t="shared" si="25"/>
        <v>14.082031249469972</v>
      </c>
      <c r="I102" s="153">
        <f t="shared" si="20"/>
        <v>15.202428570079263</v>
      </c>
      <c r="J102" s="104">
        <f t="shared" si="2"/>
        <v>1018.5627141953106</v>
      </c>
      <c r="K102" s="154">
        <f t="shared" si="30"/>
        <v>943.4960937144881</v>
      </c>
      <c r="L102" s="155">
        <f t="shared" si="31"/>
        <v>75.066620480822507</v>
      </c>
      <c r="M102" s="104">
        <f t="shared" si="26"/>
        <v>5.3748800423436673</v>
      </c>
      <c r="N102" s="156">
        <f t="shared" si="27"/>
        <v>80.44150052316617</v>
      </c>
      <c r="O102" s="104">
        <v>0</v>
      </c>
      <c r="P102" s="104">
        <v>0</v>
      </c>
      <c r="Q102" s="104">
        <v>0</v>
      </c>
      <c r="R102" s="156">
        <f t="shared" si="28"/>
        <v>80.44150052316617</v>
      </c>
    </row>
    <row r="103" spans="1:18" s="170" customFormat="1" x14ac:dyDescent="0.2">
      <c r="A103" s="86">
        <v>12</v>
      </c>
      <c r="B103" s="168">
        <f t="shared" si="4"/>
        <v>45992</v>
      </c>
      <c r="C103" s="166">
        <f t="shared" si="32"/>
        <v>46028</v>
      </c>
      <c r="D103" s="166">
        <f t="shared" si="32"/>
        <v>46048</v>
      </c>
      <c r="E103" s="169" t="s">
        <v>8</v>
      </c>
      <c r="F103" s="127">
        <v>9</v>
      </c>
      <c r="G103" s="190">
        <v>82</v>
      </c>
      <c r="H103" s="158">
        <f t="shared" si="25"/>
        <v>14.082031249469972</v>
      </c>
      <c r="I103" s="158">
        <f t="shared" si="20"/>
        <v>15.202428570079263</v>
      </c>
      <c r="J103" s="159">
        <f t="shared" si="2"/>
        <v>1246.5991427464996</v>
      </c>
      <c r="K103" s="160">
        <f t="shared" si="30"/>
        <v>1154.7265624565377</v>
      </c>
      <c r="L103" s="161">
        <f t="shared" si="31"/>
        <v>91.872580289961888</v>
      </c>
      <c r="M103" s="159">
        <f t="shared" si="26"/>
        <v>6.5782113951071741</v>
      </c>
      <c r="N103" s="191">
        <f t="shared" si="27"/>
        <v>98.450791685069063</v>
      </c>
      <c r="O103" s="159">
        <v>0</v>
      </c>
      <c r="P103" s="159">
        <v>0</v>
      </c>
      <c r="Q103" s="159">
        <v>0</v>
      </c>
      <c r="R103" s="191">
        <f t="shared" si="28"/>
        <v>98.450791685069063</v>
      </c>
    </row>
    <row r="104" spans="1:18" x14ac:dyDescent="0.2">
      <c r="A104" s="86">
        <v>1</v>
      </c>
      <c r="B104" s="150">
        <f t="shared" si="4"/>
        <v>45658</v>
      </c>
      <c r="C104" s="163">
        <f t="shared" si="32"/>
        <v>45693</v>
      </c>
      <c r="D104" s="163">
        <f t="shared" si="32"/>
        <v>45712</v>
      </c>
      <c r="E104" s="151" t="s">
        <v>19</v>
      </c>
      <c r="F104" s="86">
        <v>9</v>
      </c>
      <c r="G104" s="152">
        <v>70</v>
      </c>
      <c r="H104" s="153">
        <f t="shared" si="25"/>
        <v>14.082031249469972</v>
      </c>
      <c r="I104" s="153">
        <f t="shared" si="20"/>
        <v>15.202428570079263</v>
      </c>
      <c r="J104" s="104">
        <f t="shared" si="2"/>
        <v>1064.1699999055484</v>
      </c>
      <c r="K104" s="154">
        <f t="shared" si="30"/>
        <v>985.74218746289807</v>
      </c>
      <c r="L104" s="155">
        <f t="shared" si="31"/>
        <v>78.427812442650293</v>
      </c>
      <c r="M104" s="104">
        <f t="shared" si="26"/>
        <v>5.6155463128963685</v>
      </c>
      <c r="N104" s="156">
        <f t="shared" si="27"/>
        <v>84.043358755546663</v>
      </c>
      <c r="O104" s="104">
        <v>0</v>
      </c>
      <c r="P104" s="104">
        <v>0</v>
      </c>
      <c r="Q104" s="104">
        <v>0</v>
      </c>
      <c r="R104" s="156">
        <f t="shared" si="28"/>
        <v>84.043358755546663</v>
      </c>
    </row>
    <row r="105" spans="1:18" x14ac:dyDescent="0.2">
      <c r="A105" s="86">
        <v>2</v>
      </c>
      <c r="B105" s="150">
        <f t="shared" si="4"/>
        <v>45689</v>
      </c>
      <c r="C105" s="166">
        <f t="shared" si="32"/>
        <v>45721</v>
      </c>
      <c r="D105" s="166">
        <f t="shared" si="32"/>
        <v>45740</v>
      </c>
      <c r="E105" s="157" t="s">
        <v>19</v>
      </c>
      <c r="F105" s="86">
        <v>9</v>
      </c>
      <c r="G105" s="152">
        <v>50</v>
      </c>
      <c r="H105" s="153">
        <f t="shared" si="25"/>
        <v>14.082031249469972</v>
      </c>
      <c r="I105" s="153">
        <f t="shared" si="20"/>
        <v>15.202428570079263</v>
      </c>
      <c r="J105" s="104">
        <f t="shared" si="2"/>
        <v>760.12142850396322</v>
      </c>
      <c r="K105" s="154">
        <f t="shared" si="30"/>
        <v>704.10156247349857</v>
      </c>
      <c r="L105" s="155">
        <f t="shared" si="31"/>
        <v>56.019866030464641</v>
      </c>
      <c r="M105" s="104">
        <f t="shared" si="26"/>
        <v>4.0111045092116919</v>
      </c>
      <c r="N105" s="156">
        <f t="shared" si="27"/>
        <v>60.030970539676332</v>
      </c>
      <c r="O105" s="104">
        <v>0</v>
      </c>
      <c r="P105" s="104">
        <v>0</v>
      </c>
      <c r="Q105" s="104">
        <v>0</v>
      </c>
      <c r="R105" s="156">
        <f t="shared" si="28"/>
        <v>60.030970539676332</v>
      </c>
    </row>
    <row r="106" spans="1:18" x14ac:dyDescent="0.2">
      <c r="A106" s="86">
        <v>3</v>
      </c>
      <c r="B106" s="150">
        <f t="shared" si="4"/>
        <v>45717</v>
      </c>
      <c r="C106" s="166">
        <f t="shared" si="32"/>
        <v>45750</v>
      </c>
      <c r="D106" s="166">
        <f t="shared" si="32"/>
        <v>45771</v>
      </c>
      <c r="E106" s="157" t="s">
        <v>19</v>
      </c>
      <c r="F106" s="86">
        <v>9</v>
      </c>
      <c r="G106" s="152">
        <v>67</v>
      </c>
      <c r="H106" s="153">
        <f t="shared" si="25"/>
        <v>14.082031249469972</v>
      </c>
      <c r="I106" s="153">
        <f t="shared" si="20"/>
        <v>15.202428570079263</v>
      </c>
      <c r="J106" s="104">
        <f t="shared" si="2"/>
        <v>1018.5627141953106</v>
      </c>
      <c r="K106" s="154">
        <f t="shared" si="30"/>
        <v>943.4960937144881</v>
      </c>
      <c r="L106" s="155">
        <f>+J106-K106</f>
        <v>75.066620480822507</v>
      </c>
      <c r="M106" s="104">
        <f t="shared" si="26"/>
        <v>5.3748800423436673</v>
      </c>
      <c r="N106" s="156">
        <f t="shared" si="27"/>
        <v>80.44150052316617</v>
      </c>
      <c r="O106" s="104">
        <v>0</v>
      </c>
      <c r="P106" s="104">
        <v>0</v>
      </c>
      <c r="Q106" s="104">
        <v>0</v>
      </c>
      <c r="R106" s="156">
        <f t="shared" si="28"/>
        <v>80.44150052316617</v>
      </c>
    </row>
    <row r="107" spans="1:18" x14ac:dyDescent="0.2">
      <c r="A107" s="86">
        <v>4</v>
      </c>
      <c r="B107" s="150">
        <f t="shared" si="4"/>
        <v>45748</v>
      </c>
      <c r="C107" s="166">
        <f t="shared" si="32"/>
        <v>45782</v>
      </c>
      <c r="D107" s="166">
        <f t="shared" si="32"/>
        <v>45803</v>
      </c>
      <c r="E107" s="1" t="s">
        <v>19</v>
      </c>
      <c r="F107" s="86">
        <v>9</v>
      </c>
      <c r="G107" s="152">
        <v>71</v>
      </c>
      <c r="H107" s="153">
        <f t="shared" si="25"/>
        <v>14.082031249469972</v>
      </c>
      <c r="I107" s="153">
        <f t="shared" si="20"/>
        <v>15.202428570079263</v>
      </c>
      <c r="J107" s="104">
        <f t="shared" si="2"/>
        <v>1079.3724284756277</v>
      </c>
      <c r="K107" s="154">
        <f t="shared" si="30"/>
        <v>999.82421871236807</v>
      </c>
      <c r="L107" s="155">
        <f t="shared" ref="L107:L115" si="33">+J107-K107</f>
        <v>79.548209763259592</v>
      </c>
      <c r="M107" s="104">
        <f t="shared" si="26"/>
        <v>5.6957684030806028</v>
      </c>
      <c r="N107" s="156">
        <f t="shared" si="27"/>
        <v>85.243978166340199</v>
      </c>
      <c r="O107" s="104">
        <v>0</v>
      </c>
      <c r="P107" s="104">
        <v>0</v>
      </c>
      <c r="Q107" s="104">
        <v>0</v>
      </c>
      <c r="R107" s="156">
        <f t="shared" si="28"/>
        <v>85.243978166340199</v>
      </c>
    </row>
    <row r="108" spans="1:18" x14ac:dyDescent="0.2">
      <c r="A108" s="86">
        <v>5</v>
      </c>
      <c r="B108" s="150">
        <f t="shared" si="4"/>
        <v>45778</v>
      </c>
      <c r="C108" s="166">
        <f t="shared" si="32"/>
        <v>45812</v>
      </c>
      <c r="D108" s="166">
        <f t="shared" si="32"/>
        <v>45832</v>
      </c>
      <c r="E108" s="1" t="s">
        <v>19</v>
      </c>
      <c r="F108" s="86">
        <v>9</v>
      </c>
      <c r="G108" s="152">
        <v>64</v>
      </c>
      <c r="H108" s="153">
        <f t="shared" si="25"/>
        <v>14.082031249469972</v>
      </c>
      <c r="I108" s="153">
        <f t="shared" ref="I108:I127" si="34">$J$3</f>
        <v>15.202428570079263</v>
      </c>
      <c r="J108" s="104">
        <f t="shared" si="2"/>
        <v>972.95542848507284</v>
      </c>
      <c r="K108" s="154">
        <f t="shared" si="30"/>
        <v>901.24999996607824</v>
      </c>
      <c r="L108" s="155">
        <f t="shared" si="33"/>
        <v>71.705428518994609</v>
      </c>
      <c r="M108" s="104">
        <f t="shared" si="26"/>
        <v>5.1342137717909653</v>
      </c>
      <c r="N108" s="156">
        <f t="shared" si="27"/>
        <v>76.839642290785577</v>
      </c>
      <c r="O108" s="104">
        <v>0</v>
      </c>
      <c r="P108" s="104">
        <v>0</v>
      </c>
      <c r="Q108" s="104">
        <v>0</v>
      </c>
      <c r="R108" s="156">
        <f t="shared" si="28"/>
        <v>76.839642290785577</v>
      </c>
    </row>
    <row r="109" spans="1:18" x14ac:dyDescent="0.2">
      <c r="A109" s="86">
        <v>6</v>
      </c>
      <c r="B109" s="150">
        <f t="shared" ref="B109:B148" si="35">DATE($R$1,A109,1)</f>
        <v>45809</v>
      </c>
      <c r="C109" s="166">
        <f t="shared" si="32"/>
        <v>45841</v>
      </c>
      <c r="D109" s="166">
        <f t="shared" si="32"/>
        <v>45862</v>
      </c>
      <c r="E109" s="1" t="s">
        <v>19</v>
      </c>
      <c r="F109" s="86">
        <v>9</v>
      </c>
      <c r="G109" s="152">
        <v>72</v>
      </c>
      <c r="H109" s="153">
        <f t="shared" si="25"/>
        <v>14.082031249469972</v>
      </c>
      <c r="I109" s="153">
        <f t="shared" si="34"/>
        <v>15.202428570079263</v>
      </c>
      <c r="J109" s="104">
        <f t="shared" ref="J109:J148" si="36">+$G109*I109</f>
        <v>1094.5748570457069</v>
      </c>
      <c r="K109" s="154">
        <f t="shared" si="30"/>
        <v>1013.9062499618381</v>
      </c>
      <c r="L109" s="155">
        <f t="shared" si="33"/>
        <v>80.668607083868892</v>
      </c>
      <c r="M109" s="104">
        <f t="shared" si="26"/>
        <v>5.7759904932648354</v>
      </c>
      <c r="N109" s="156">
        <f t="shared" si="27"/>
        <v>86.44459757713372</v>
      </c>
      <c r="O109" s="104">
        <v>0</v>
      </c>
      <c r="P109" s="104">
        <v>0</v>
      </c>
      <c r="Q109" s="104">
        <v>0</v>
      </c>
      <c r="R109" s="156">
        <f t="shared" si="28"/>
        <v>86.44459757713372</v>
      </c>
    </row>
    <row r="110" spans="1:18" x14ac:dyDescent="0.2">
      <c r="A110" s="86">
        <v>7</v>
      </c>
      <c r="B110" s="150">
        <f t="shared" si="35"/>
        <v>45839</v>
      </c>
      <c r="C110" s="166">
        <f t="shared" si="32"/>
        <v>45874</v>
      </c>
      <c r="D110" s="166">
        <f t="shared" si="32"/>
        <v>45894</v>
      </c>
      <c r="E110" s="1" t="s">
        <v>19</v>
      </c>
      <c r="F110" s="86">
        <v>9</v>
      </c>
      <c r="G110" s="152">
        <v>11</v>
      </c>
      <c r="H110" s="153">
        <f t="shared" si="25"/>
        <v>14.082031249469972</v>
      </c>
      <c r="I110" s="153">
        <f t="shared" si="34"/>
        <v>15.202428570079263</v>
      </c>
      <c r="J110" s="104">
        <f t="shared" si="36"/>
        <v>167.22671427087189</v>
      </c>
      <c r="K110" s="154">
        <f t="shared" si="30"/>
        <v>154.90234374416968</v>
      </c>
      <c r="L110" s="155">
        <f t="shared" si="33"/>
        <v>12.324370526702211</v>
      </c>
      <c r="M110" s="104">
        <f t="shared" si="26"/>
        <v>0.88244299202657228</v>
      </c>
      <c r="N110" s="156">
        <f t="shared" si="27"/>
        <v>13.206813518728783</v>
      </c>
      <c r="O110" s="104">
        <v>0</v>
      </c>
      <c r="P110" s="104">
        <v>0</v>
      </c>
      <c r="Q110" s="104">
        <v>0</v>
      </c>
      <c r="R110" s="156">
        <f t="shared" si="28"/>
        <v>13.206813518728783</v>
      </c>
    </row>
    <row r="111" spans="1:18" x14ac:dyDescent="0.2">
      <c r="A111" s="86">
        <v>8</v>
      </c>
      <c r="B111" s="150">
        <f t="shared" si="35"/>
        <v>45870</v>
      </c>
      <c r="C111" s="166">
        <f t="shared" si="32"/>
        <v>45904</v>
      </c>
      <c r="D111" s="166">
        <f t="shared" si="32"/>
        <v>45924</v>
      </c>
      <c r="E111" s="1" t="s">
        <v>19</v>
      </c>
      <c r="F111" s="86">
        <v>9</v>
      </c>
      <c r="G111" s="152">
        <v>62</v>
      </c>
      <c r="H111" s="153">
        <f t="shared" si="25"/>
        <v>14.082031249469972</v>
      </c>
      <c r="I111" s="153">
        <f t="shared" si="34"/>
        <v>15.202428570079263</v>
      </c>
      <c r="J111" s="104">
        <f t="shared" si="36"/>
        <v>942.55057134491426</v>
      </c>
      <c r="K111" s="154">
        <f t="shared" si="30"/>
        <v>873.08593746713825</v>
      </c>
      <c r="L111" s="155">
        <f t="shared" si="33"/>
        <v>69.464633877776009</v>
      </c>
      <c r="M111" s="104">
        <f t="shared" si="26"/>
        <v>4.9737695914224975</v>
      </c>
      <c r="N111" s="156">
        <f t="shared" si="27"/>
        <v>74.438403469198505</v>
      </c>
      <c r="O111" s="104">
        <v>0</v>
      </c>
      <c r="P111" s="104">
        <v>0</v>
      </c>
      <c r="Q111" s="104">
        <v>0</v>
      </c>
      <c r="R111" s="156">
        <f t="shared" si="28"/>
        <v>74.438403469198505</v>
      </c>
    </row>
    <row r="112" spans="1:18" x14ac:dyDescent="0.2">
      <c r="A112" s="86">
        <v>9</v>
      </c>
      <c r="B112" s="150">
        <f t="shared" si="35"/>
        <v>45901</v>
      </c>
      <c r="C112" s="166">
        <f t="shared" si="32"/>
        <v>45933</v>
      </c>
      <c r="D112" s="166">
        <f t="shared" si="32"/>
        <v>45954</v>
      </c>
      <c r="E112" s="1" t="s">
        <v>19</v>
      </c>
      <c r="F112" s="86">
        <v>9</v>
      </c>
      <c r="G112" s="152">
        <v>72</v>
      </c>
      <c r="H112" s="153">
        <f t="shared" si="25"/>
        <v>14.082031249469972</v>
      </c>
      <c r="I112" s="153">
        <f t="shared" si="34"/>
        <v>15.202428570079263</v>
      </c>
      <c r="J112" s="104">
        <f t="shared" si="36"/>
        <v>1094.5748570457069</v>
      </c>
      <c r="K112" s="154">
        <f t="shared" si="30"/>
        <v>1013.9062499618381</v>
      </c>
      <c r="L112" s="155">
        <f t="shared" si="33"/>
        <v>80.668607083868892</v>
      </c>
      <c r="M112" s="104">
        <f t="shared" si="26"/>
        <v>5.7759904932648354</v>
      </c>
      <c r="N112" s="156">
        <f t="shared" si="27"/>
        <v>86.44459757713372</v>
      </c>
      <c r="O112" s="104">
        <v>0</v>
      </c>
      <c r="P112" s="104">
        <v>0</v>
      </c>
      <c r="Q112" s="104">
        <v>0</v>
      </c>
      <c r="R112" s="156">
        <f t="shared" si="28"/>
        <v>86.44459757713372</v>
      </c>
    </row>
    <row r="113" spans="1:18" x14ac:dyDescent="0.2">
      <c r="A113" s="86">
        <v>10</v>
      </c>
      <c r="B113" s="150">
        <f t="shared" si="35"/>
        <v>45931</v>
      </c>
      <c r="C113" s="166">
        <f t="shared" si="32"/>
        <v>45966</v>
      </c>
      <c r="D113" s="166">
        <f t="shared" si="32"/>
        <v>45985</v>
      </c>
      <c r="E113" s="1" t="s">
        <v>19</v>
      </c>
      <c r="F113" s="86">
        <v>9</v>
      </c>
      <c r="G113" s="152">
        <v>72</v>
      </c>
      <c r="H113" s="153">
        <f t="shared" si="25"/>
        <v>14.082031249469972</v>
      </c>
      <c r="I113" s="153">
        <f t="shared" si="34"/>
        <v>15.202428570079263</v>
      </c>
      <c r="J113" s="104">
        <f t="shared" si="36"/>
        <v>1094.5748570457069</v>
      </c>
      <c r="K113" s="154">
        <f t="shared" si="30"/>
        <v>1013.9062499618381</v>
      </c>
      <c r="L113" s="155">
        <f t="shared" si="33"/>
        <v>80.668607083868892</v>
      </c>
      <c r="M113" s="104">
        <f t="shared" si="26"/>
        <v>5.7759904932648354</v>
      </c>
      <c r="N113" s="156">
        <f t="shared" si="27"/>
        <v>86.44459757713372</v>
      </c>
      <c r="O113" s="104">
        <v>0</v>
      </c>
      <c r="P113" s="104">
        <v>0</v>
      </c>
      <c r="Q113" s="104">
        <v>0</v>
      </c>
      <c r="R113" s="156">
        <f t="shared" si="28"/>
        <v>86.44459757713372</v>
      </c>
    </row>
    <row r="114" spans="1:18" x14ac:dyDescent="0.2">
      <c r="A114" s="86">
        <v>11</v>
      </c>
      <c r="B114" s="150">
        <f t="shared" si="35"/>
        <v>45962</v>
      </c>
      <c r="C114" s="166">
        <f t="shared" si="32"/>
        <v>45994</v>
      </c>
      <c r="D114" s="166">
        <f t="shared" si="32"/>
        <v>46015</v>
      </c>
      <c r="E114" s="1" t="s">
        <v>19</v>
      </c>
      <c r="F114" s="86">
        <v>9</v>
      </c>
      <c r="G114" s="152">
        <v>67</v>
      </c>
      <c r="H114" s="153">
        <f t="shared" si="25"/>
        <v>14.082031249469972</v>
      </c>
      <c r="I114" s="153">
        <f t="shared" si="34"/>
        <v>15.202428570079263</v>
      </c>
      <c r="J114" s="104">
        <f t="shared" si="36"/>
        <v>1018.5627141953106</v>
      </c>
      <c r="K114" s="154">
        <f t="shared" si="30"/>
        <v>943.4960937144881</v>
      </c>
      <c r="L114" s="155">
        <f t="shared" si="33"/>
        <v>75.066620480822507</v>
      </c>
      <c r="M114" s="104">
        <f t="shared" si="26"/>
        <v>5.3748800423436673</v>
      </c>
      <c r="N114" s="156">
        <f t="shared" si="27"/>
        <v>80.44150052316617</v>
      </c>
      <c r="O114" s="104">
        <v>0</v>
      </c>
      <c r="P114" s="104">
        <v>0</v>
      </c>
      <c r="Q114" s="104">
        <v>0</v>
      </c>
      <c r="R114" s="156">
        <f t="shared" si="28"/>
        <v>80.44150052316617</v>
      </c>
    </row>
    <row r="115" spans="1:18" s="170" customFormat="1" x14ac:dyDescent="0.2">
      <c r="A115" s="86">
        <v>12</v>
      </c>
      <c r="B115" s="168">
        <f t="shared" si="35"/>
        <v>45992</v>
      </c>
      <c r="C115" s="171">
        <f t="shared" si="32"/>
        <v>46028</v>
      </c>
      <c r="D115" s="171">
        <f t="shared" si="32"/>
        <v>46048</v>
      </c>
      <c r="E115" s="169" t="s">
        <v>19</v>
      </c>
      <c r="F115" s="127">
        <v>9</v>
      </c>
      <c r="G115" s="190">
        <v>68</v>
      </c>
      <c r="H115" s="158">
        <f t="shared" si="25"/>
        <v>14.082031249469972</v>
      </c>
      <c r="I115" s="158">
        <f t="shared" si="34"/>
        <v>15.202428570079263</v>
      </c>
      <c r="J115" s="159">
        <f t="shared" si="36"/>
        <v>1033.76514276539</v>
      </c>
      <c r="K115" s="160">
        <f t="shared" si="30"/>
        <v>957.57812496395809</v>
      </c>
      <c r="L115" s="161">
        <f t="shared" si="33"/>
        <v>76.187017801431921</v>
      </c>
      <c r="M115" s="159">
        <f t="shared" si="26"/>
        <v>5.4551021325279008</v>
      </c>
      <c r="N115" s="191">
        <f t="shared" si="27"/>
        <v>81.642119933959819</v>
      </c>
      <c r="O115" s="159">
        <v>0</v>
      </c>
      <c r="P115" s="159">
        <v>0</v>
      </c>
      <c r="Q115" s="159">
        <v>0</v>
      </c>
      <c r="R115" s="191">
        <f t="shared" si="28"/>
        <v>81.642119933959819</v>
      </c>
    </row>
    <row r="116" spans="1:18" x14ac:dyDescent="0.2">
      <c r="A116" s="86">
        <v>1</v>
      </c>
      <c r="B116" s="150">
        <f t="shared" si="35"/>
        <v>45658</v>
      </c>
      <c r="C116" s="166">
        <f t="shared" si="32"/>
        <v>45693</v>
      </c>
      <c r="D116" s="166">
        <f t="shared" si="32"/>
        <v>45712</v>
      </c>
      <c r="E116" s="151" t="s">
        <v>13</v>
      </c>
      <c r="F116" s="86">
        <v>9</v>
      </c>
      <c r="G116" s="152">
        <v>1315</v>
      </c>
      <c r="H116" s="153">
        <f t="shared" si="25"/>
        <v>14.082031249469972</v>
      </c>
      <c r="I116" s="153">
        <f t="shared" si="34"/>
        <v>15.202428570079263</v>
      </c>
      <c r="J116" s="104">
        <f t="shared" si="36"/>
        <v>19991.193569654231</v>
      </c>
      <c r="K116" s="154">
        <f t="shared" si="30"/>
        <v>18517.871093053014</v>
      </c>
      <c r="L116" s="155">
        <f>+J116-K116</f>
        <v>1473.3224766012172</v>
      </c>
      <c r="M116" s="104">
        <f t="shared" si="26"/>
        <v>105.49204859226749</v>
      </c>
      <c r="N116" s="156">
        <f t="shared" si="27"/>
        <v>1578.8145251934848</v>
      </c>
      <c r="O116" s="104">
        <v>0</v>
      </c>
      <c r="P116" s="104">
        <v>0</v>
      </c>
      <c r="Q116" s="104">
        <v>0</v>
      </c>
      <c r="R116" s="156">
        <f t="shared" si="28"/>
        <v>1578.8145251934848</v>
      </c>
    </row>
    <row r="117" spans="1:18" x14ac:dyDescent="0.2">
      <c r="A117" s="86">
        <v>2</v>
      </c>
      <c r="B117" s="150">
        <f t="shared" si="35"/>
        <v>45689</v>
      </c>
      <c r="C117" s="166">
        <f t="shared" ref="C117:D139" si="37">+C105</f>
        <v>45721</v>
      </c>
      <c r="D117" s="166">
        <f t="shared" si="37"/>
        <v>45740</v>
      </c>
      <c r="E117" s="157" t="s">
        <v>13</v>
      </c>
      <c r="F117" s="86">
        <v>9</v>
      </c>
      <c r="G117" s="152">
        <v>1377</v>
      </c>
      <c r="H117" s="153">
        <f t="shared" si="25"/>
        <v>14.082031249469972</v>
      </c>
      <c r="I117" s="153">
        <f t="shared" si="34"/>
        <v>15.202428570079263</v>
      </c>
      <c r="J117" s="104">
        <f t="shared" si="36"/>
        <v>20933.744140999144</v>
      </c>
      <c r="K117" s="154">
        <f t="shared" si="30"/>
        <v>19390.957030520152</v>
      </c>
      <c r="L117" s="155">
        <f>+J117-K117</f>
        <v>1542.787110478992</v>
      </c>
      <c r="M117" s="104">
        <f t="shared" si="26"/>
        <v>110.46581818368999</v>
      </c>
      <c r="N117" s="156">
        <f t="shared" si="27"/>
        <v>1653.2529286626821</v>
      </c>
      <c r="O117" s="104">
        <v>0</v>
      </c>
      <c r="P117" s="104">
        <v>0</v>
      </c>
      <c r="Q117" s="104">
        <v>0</v>
      </c>
      <c r="R117" s="156">
        <f t="shared" si="28"/>
        <v>1653.2529286626821</v>
      </c>
    </row>
    <row r="118" spans="1:18" x14ac:dyDescent="0.2">
      <c r="A118" s="86">
        <v>3</v>
      </c>
      <c r="B118" s="150">
        <f t="shared" si="35"/>
        <v>45717</v>
      </c>
      <c r="C118" s="166">
        <f t="shared" si="37"/>
        <v>45750</v>
      </c>
      <c r="D118" s="166">
        <f t="shared" si="37"/>
        <v>45771</v>
      </c>
      <c r="E118" s="157" t="s">
        <v>13</v>
      </c>
      <c r="F118" s="86">
        <v>9</v>
      </c>
      <c r="G118" s="152">
        <v>791</v>
      </c>
      <c r="H118" s="153">
        <f t="shared" si="25"/>
        <v>14.082031249469972</v>
      </c>
      <c r="I118" s="153">
        <f t="shared" si="34"/>
        <v>15.202428570079263</v>
      </c>
      <c r="J118" s="104">
        <f t="shared" si="36"/>
        <v>12025.120998932698</v>
      </c>
      <c r="K118" s="154">
        <f t="shared" si="30"/>
        <v>11138.886718330748</v>
      </c>
      <c r="L118" s="155">
        <f>+J118-K118</f>
        <v>886.23428060194965</v>
      </c>
      <c r="M118" s="104">
        <f t="shared" si="26"/>
        <v>63.45567333572896</v>
      </c>
      <c r="N118" s="156">
        <f t="shared" si="27"/>
        <v>949.68995393767864</v>
      </c>
      <c r="O118" s="104">
        <v>0</v>
      </c>
      <c r="P118" s="104">
        <v>0</v>
      </c>
      <c r="Q118" s="104">
        <v>0</v>
      </c>
      <c r="R118" s="156">
        <f t="shared" si="28"/>
        <v>949.68995393767864</v>
      </c>
    </row>
    <row r="119" spans="1:18" x14ac:dyDescent="0.2">
      <c r="A119" s="86">
        <v>4</v>
      </c>
      <c r="B119" s="150">
        <f t="shared" si="35"/>
        <v>45748</v>
      </c>
      <c r="C119" s="166">
        <f t="shared" si="37"/>
        <v>45782</v>
      </c>
      <c r="D119" s="166">
        <f t="shared" si="37"/>
        <v>45803</v>
      </c>
      <c r="E119" s="1" t="s">
        <v>13</v>
      </c>
      <c r="F119" s="86">
        <v>9</v>
      </c>
      <c r="G119" s="152">
        <v>603</v>
      </c>
      <c r="H119" s="153">
        <f t="shared" si="25"/>
        <v>14.082031249469972</v>
      </c>
      <c r="I119" s="153">
        <f t="shared" si="34"/>
        <v>15.202428570079263</v>
      </c>
      <c r="J119" s="104">
        <f t="shared" si="36"/>
        <v>9167.0644277577958</v>
      </c>
      <c r="K119" s="154">
        <f t="shared" si="30"/>
        <v>8491.4648434303926</v>
      </c>
      <c r="L119" s="155">
        <f t="shared" ref="L119:L127" si="38">+J119-K119</f>
        <v>675.59958432740314</v>
      </c>
      <c r="M119" s="104">
        <f t="shared" si="26"/>
        <v>48.373920381093001</v>
      </c>
      <c r="N119" s="156">
        <f t="shared" si="27"/>
        <v>723.97350470849619</v>
      </c>
      <c r="O119" s="104">
        <v>0</v>
      </c>
      <c r="P119" s="104">
        <v>0</v>
      </c>
      <c r="Q119" s="104">
        <v>0</v>
      </c>
      <c r="R119" s="156">
        <f t="shared" si="28"/>
        <v>723.97350470849619</v>
      </c>
    </row>
    <row r="120" spans="1:18" x14ac:dyDescent="0.2">
      <c r="A120" s="86">
        <v>5</v>
      </c>
      <c r="B120" s="150">
        <f t="shared" si="35"/>
        <v>45778</v>
      </c>
      <c r="C120" s="166">
        <f t="shared" si="37"/>
        <v>45812</v>
      </c>
      <c r="D120" s="166">
        <f t="shared" si="37"/>
        <v>45832</v>
      </c>
      <c r="E120" s="1" t="s">
        <v>13</v>
      </c>
      <c r="F120" s="86">
        <v>9</v>
      </c>
      <c r="G120" s="152">
        <v>738</v>
      </c>
      <c r="H120" s="153">
        <f t="shared" si="25"/>
        <v>14.082031249469972</v>
      </c>
      <c r="I120" s="153">
        <f t="shared" si="34"/>
        <v>15.202428570079263</v>
      </c>
      <c r="J120" s="104">
        <f t="shared" si="36"/>
        <v>11219.392284718497</v>
      </c>
      <c r="K120" s="154">
        <f t="shared" si="30"/>
        <v>10392.539062108839</v>
      </c>
      <c r="L120" s="155">
        <f t="shared" si="38"/>
        <v>826.85322260965768</v>
      </c>
      <c r="M120" s="104">
        <f t="shared" si="26"/>
        <v>59.203902555964568</v>
      </c>
      <c r="N120" s="156">
        <f t="shared" si="27"/>
        <v>886.05712516562221</v>
      </c>
      <c r="O120" s="104">
        <v>0</v>
      </c>
      <c r="P120" s="104">
        <v>0</v>
      </c>
      <c r="Q120" s="104">
        <v>0</v>
      </c>
      <c r="R120" s="156">
        <f t="shared" si="28"/>
        <v>886.05712516562221</v>
      </c>
    </row>
    <row r="121" spans="1:18" x14ac:dyDescent="0.2">
      <c r="A121" s="86">
        <v>6</v>
      </c>
      <c r="B121" s="150">
        <f t="shared" si="35"/>
        <v>45809</v>
      </c>
      <c r="C121" s="166">
        <f t="shared" si="37"/>
        <v>45841</v>
      </c>
      <c r="D121" s="166">
        <f t="shared" si="37"/>
        <v>45862</v>
      </c>
      <c r="E121" s="1" t="s">
        <v>13</v>
      </c>
      <c r="F121" s="86">
        <v>9</v>
      </c>
      <c r="G121" s="152">
        <v>849</v>
      </c>
      <c r="H121" s="153">
        <f t="shared" si="25"/>
        <v>14.082031249469972</v>
      </c>
      <c r="I121" s="153">
        <f t="shared" si="34"/>
        <v>15.202428570079263</v>
      </c>
      <c r="J121" s="104">
        <f t="shared" si="36"/>
        <v>12906.861855997295</v>
      </c>
      <c r="K121" s="154">
        <f t="shared" si="30"/>
        <v>11955.644530800007</v>
      </c>
      <c r="L121" s="155">
        <f t="shared" si="38"/>
        <v>951.21732519728721</v>
      </c>
      <c r="M121" s="104">
        <f t="shared" si="26"/>
        <v>68.108554566414526</v>
      </c>
      <c r="N121" s="156">
        <f t="shared" si="27"/>
        <v>1019.3258797637018</v>
      </c>
      <c r="O121" s="104">
        <v>0</v>
      </c>
      <c r="P121" s="104">
        <v>0</v>
      </c>
      <c r="Q121" s="104">
        <v>0</v>
      </c>
      <c r="R121" s="156">
        <f t="shared" si="28"/>
        <v>1019.3258797637018</v>
      </c>
    </row>
    <row r="122" spans="1:18" x14ac:dyDescent="0.2">
      <c r="A122" s="86">
        <v>7</v>
      </c>
      <c r="B122" s="150">
        <f t="shared" si="35"/>
        <v>45839</v>
      </c>
      <c r="C122" s="166">
        <f t="shared" si="37"/>
        <v>45874</v>
      </c>
      <c r="D122" s="166">
        <f t="shared" si="37"/>
        <v>45894</v>
      </c>
      <c r="E122" s="1" t="s">
        <v>13</v>
      </c>
      <c r="F122" s="86">
        <v>9</v>
      </c>
      <c r="G122" s="152">
        <v>978</v>
      </c>
      <c r="H122" s="153">
        <f t="shared" si="25"/>
        <v>14.082031249469972</v>
      </c>
      <c r="I122" s="153">
        <f t="shared" si="34"/>
        <v>15.202428570079263</v>
      </c>
      <c r="J122" s="104">
        <f t="shared" si="36"/>
        <v>14867.975141537519</v>
      </c>
      <c r="K122" s="154">
        <f t="shared" si="30"/>
        <v>13772.226561981633</v>
      </c>
      <c r="L122" s="155">
        <f t="shared" si="38"/>
        <v>1095.748579555886</v>
      </c>
      <c r="M122" s="104">
        <f t="shared" si="26"/>
        <v>78.457204200180698</v>
      </c>
      <c r="N122" s="156">
        <f t="shared" si="27"/>
        <v>1174.2057837560667</v>
      </c>
      <c r="O122" s="104">
        <v>0</v>
      </c>
      <c r="P122" s="104">
        <v>0</v>
      </c>
      <c r="Q122" s="104">
        <v>0</v>
      </c>
      <c r="R122" s="156">
        <f t="shared" si="28"/>
        <v>1174.2057837560667</v>
      </c>
    </row>
    <row r="123" spans="1:18" x14ac:dyDescent="0.2">
      <c r="A123" s="86">
        <v>8</v>
      </c>
      <c r="B123" s="150">
        <f t="shared" si="35"/>
        <v>45870</v>
      </c>
      <c r="C123" s="166">
        <f t="shared" si="37"/>
        <v>45904</v>
      </c>
      <c r="D123" s="166">
        <f t="shared" si="37"/>
        <v>45924</v>
      </c>
      <c r="E123" s="1" t="s">
        <v>13</v>
      </c>
      <c r="F123" s="86">
        <v>9</v>
      </c>
      <c r="G123" s="152">
        <v>1000</v>
      </c>
      <c r="H123" s="153">
        <f t="shared" si="25"/>
        <v>14.082031249469972</v>
      </c>
      <c r="I123" s="153">
        <f t="shared" si="34"/>
        <v>15.202428570079263</v>
      </c>
      <c r="J123" s="104">
        <f t="shared" si="36"/>
        <v>15202.428570079262</v>
      </c>
      <c r="K123" s="154">
        <f t="shared" si="30"/>
        <v>14082.031249469972</v>
      </c>
      <c r="L123" s="155">
        <f t="shared" si="38"/>
        <v>1120.3973206092905</v>
      </c>
      <c r="M123" s="104">
        <f t="shared" si="26"/>
        <v>80.222090184233835</v>
      </c>
      <c r="N123" s="156">
        <f t="shared" si="27"/>
        <v>1200.6194107935244</v>
      </c>
      <c r="O123" s="104">
        <v>0</v>
      </c>
      <c r="P123" s="104">
        <v>0</v>
      </c>
      <c r="Q123" s="104">
        <v>0</v>
      </c>
      <c r="R123" s="156">
        <f t="shared" si="28"/>
        <v>1200.6194107935244</v>
      </c>
    </row>
    <row r="124" spans="1:18" x14ac:dyDescent="0.2">
      <c r="A124" s="86">
        <v>9</v>
      </c>
      <c r="B124" s="150">
        <f t="shared" si="35"/>
        <v>45901</v>
      </c>
      <c r="C124" s="166">
        <f t="shared" si="37"/>
        <v>45933</v>
      </c>
      <c r="D124" s="166">
        <f t="shared" si="37"/>
        <v>45954</v>
      </c>
      <c r="E124" s="1" t="s">
        <v>13</v>
      </c>
      <c r="F124" s="86">
        <v>9</v>
      </c>
      <c r="G124" s="152">
        <v>844</v>
      </c>
      <c r="H124" s="153">
        <f t="shared" si="25"/>
        <v>14.082031249469972</v>
      </c>
      <c r="I124" s="153">
        <f t="shared" si="34"/>
        <v>15.202428570079263</v>
      </c>
      <c r="J124" s="104">
        <f t="shared" si="36"/>
        <v>12830.849713146898</v>
      </c>
      <c r="K124" s="154">
        <f t="shared" si="30"/>
        <v>11885.234374552656</v>
      </c>
      <c r="L124" s="155">
        <f t="shared" si="38"/>
        <v>945.61533859424162</v>
      </c>
      <c r="M124" s="104">
        <f t="shared" si="26"/>
        <v>67.70744411549336</v>
      </c>
      <c r="N124" s="156">
        <f t="shared" si="27"/>
        <v>1013.322782709735</v>
      </c>
      <c r="O124" s="104">
        <v>0</v>
      </c>
      <c r="P124" s="104">
        <v>0</v>
      </c>
      <c r="Q124" s="104">
        <v>0</v>
      </c>
      <c r="R124" s="156">
        <f t="shared" si="28"/>
        <v>1013.322782709735</v>
      </c>
    </row>
    <row r="125" spans="1:18" x14ac:dyDescent="0.2">
      <c r="A125" s="86">
        <v>10</v>
      </c>
      <c r="B125" s="150">
        <f t="shared" si="35"/>
        <v>45931</v>
      </c>
      <c r="C125" s="166">
        <f t="shared" si="37"/>
        <v>45966</v>
      </c>
      <c r="D125" s="166">
        <f t="shared" si="37"/>
        <v>45985</v>
      </c>
      <c r="E125" s="1" t="s">
        <v>13</v>
      </c>
      <c r="F125" s="86">
        <v>9</v>
      </c>
      <c r="G125" s="152">
        <v>760</v>
      </c>
      <c r="H125" s="153">
        <f t="shared" si="25"/>
        <v>14.082031249469972</v>
      </c>
      <c r="I125" s="153">
        <f t="shared" si="34"/>
        <v>15.202428570079263</v>
      </c>
      <c r="J125" s="104">
        <f t="shared" si="36"/>
        <v>11553.84571326024</v>
      </c>
      <c r="K125" s="154">
        <f t="shared" si="30"/>
        <v>10702.343749597179</v>
      </c>
      <c r="L125" s="155">
        <f t="shared" si="38"/>
        <v>851.50196366306045</v>
      </c>
      <c r="M125" s="104">
        <f t="shared" si="26"/>
        <v>60.968788540017712</v>
      </c>
      <c r="N125" s="156">
        <f t="shared" si="27"/>
        <v>912.47075220307818</v>
      </c>
      <c r="O125" s="104">
        <v>0</v>
      </c>
      <c r="P125" s="104">
        <v>0</v>
      </c>
      <c r="Q125" s="104">
        <v>0</v>
      </c>
      <c r="R125" s="156">
        <f t="shared" si="28"/>
        <v>912.47075220307818</v>
      </c>
    </row>
    <row r="126" spans="1:18" x14ac:dyDescent="0.2">
      <c r="A126" s="86">
        <v>11</v>
      </c>
      <c r="B126" s="150">
        <f t="shared" si="35"/>
        <v>45962</v>
      </c>
      <c r="C126" s="166">
        <f t="shared" si="37"/>
        <v>45994</v>
      </c>
      <c r="D126" s="166">
        <f t="shared" si="37"/>
        <v>46015</v>
      </c>
      <c r="E126" s="1" t="s">
        <v>13</v>
      </c>
      <c r="F126" s="86">
        <v>9</v>
      </c>
      <c r="G126" s="152">
        <v>748</v>
      </c>
      <c r="H126" s="153">
        <f t="shared" si="25"/>
        <v>14.082031249469972</v>
      </c>
      <c r="I126" s="153">
        <f t="shared" si="34"/>
        <v>15.202428570079263</v>
      </c>
      <c r="J126" s="104">
        <f t="shared" si="36"/>
        <v>11371.416570419289</v>
      </c>
      <c r="K126" s="154">
        <f t="shared" si="30"/>
        <v>10533.359374603539</v>
      </c>
      <c r="L126" s="155">
        <f t="shared" si="38"/>
        <v>838.05719581575067</v>
      </c>
      <c r="M126" s="104">
        <f t="shared" si="26"/>
        <v>60.006123457806908</v>
      </c>
      <c r="N126" s="156">
        <f t="shared" si="27"/>
        <v>898.06331927355757</v>
      </c>
      <c r="O126" s="104">
        <v>0</v>
      </c>
      <c r="P126" s="104">
        <v>0</v>
      </c>
      <c r="Q126" s="104">
        <v>0</v>
      </c>
      <c r="R126" s="156">
        <f t="shared" si="28"/>
        <v>898.06331927355757</v>
      </c>
    </row>
    <row r="127" spans="1:18" s="170" customFormat="1" x14ac:dyDescent="0.2">
      <c r="A127" s="86">
        <v>12</v>
      </c>
      <c r="B127" s="168">
        <f t="shared" si="35"/>
        <v>45992</v>
      </c>
      <c r="C127" s="171">
        <f t="shared" si="37"/>
        <v>46028</v>
      </c>
      <c r="D127" s="171">
        <f t="shared" si="37"/>
        <v>46048</v>
      </c>
      <c r="E127" s="169" t="s">
        <v>13</v>
      </c>
      <c r="F127" s="127">
        <v>9</v>
      </c>
      <c r="G127" s="190">
        <v>1070</v>
      </c>
      <c r="H127" s="158">
        <f t="shared" si="25"/>
        <v>14.082031249469972</v>
      </c>
      <c r="I127" s="158">
        <f t="shared" si="34"/>
        <v>15.202428570079263</v>
      </c>
      <c r="J127" s="159">
        <f t="shared" si="36"/>
        <v>16266.598569984812</v>
      </c>
      <c r="K127" s="160">
        <f t="shared" si="30"/>
        <v>15067.77343693287</v>
      </c>
      <c r="L127" s="161">
        <f t="shared" si="38"/>
        <v>1198.8251330519415</v>
      </c>
      <c r="M127" s="159">
        <f t="shared" si="26"/>
        <v>85.837636497130205</v>
      </c>
      <c r="N127" s="191">
        <f t="shared" si="27"/>
        <v>1284.6627695490718</v>
      </c>
      <c r="O127" s="159">
        <v>0</v>
      </c>
      <c r="P127" s="159">
        <v>0</v>
      </c>
      <c r="Q127" s="159">
        <v>0</v>
      </c>
      <c r="R127" s="191">
        <f t="shared" si="28"/>
        <v>1284.6627695490718</v>
      </c>
    </row>
    <row r="128" spans="1:18" x14ac:dyDescent="0.2">
      <c r="A128" s="86">
        <v>1</v>
      </c>
      <c r="B128" s="150">
        <f t="shared" si="35"/>
        <v>45658</v>
      </c>
      <c r="C128" s="166">
        <f t="shared" si="37"/>
        <v>45693</v>
      </c>
      <c r="D128" s="166">
        <f t="shared" si="37"/>
        <v>45712</v>
      </c>
      <c r="E128" s="151" t="s">
        <v>15</v>
      </c>
      <c r="F128" s="86">
        <v>9</v>
      </c>
      <c r="G128" s="152">
        <v>7</v>
      </c>
      <c r="H128" s="153">
        <f t="shared" si="25"/>
        <v>14.082031249469972</v>
      </c>
      <c r="I128" s="153">
        <f t="shared" ref="I128:I147" si="39">$J$3</f>
        <v>15.202428570079263</v>
      </c>
      <c r="J128" s="104">
        <f t="shared" si="36"/>
        <v>106.41699999055484</v>
      </c>
      <c r="K128" s="154">
        <f t="shared" si="30"/>
        <v>98.574218746289802</v>
      </c>
      <c r="L128" s="155">
        <f>+J128-K128</f>
        <v>7.8427812442650406</v>
      </c>
      <c r="M128" s="104">
        <f t="shared" si="26"/>
        <v>0.56155463128963679</v>
      </c>
      <c r="N128" s="156">
        <f t="shared" si="27"/>
        <v>8.4043358755546773</v>
      </c>
      <c r="O128" s="104">
        <v>0</v>
      </c>
      <c r="P128" s="104">
        <v>0</v>
      </c>
      <c r="Q128" s="104">
        <v>0</v>
      </c>
      <c r="R128" s="156">
        <f t="shared" si="28"/>
        <v>8.4043358755546773</v>
      </c>
    </row>
    <row r="129" spans="1:18" x14ac:dyDescent="0.2">
      <c r="A129" s="86">
        <v>2</v>
      </c>
      <c r="B129" s="150">
        <f t="shared" si="35"/>
        <v>45689</v>
      </c>
      <c r="C129" s="166">
        <f t="shared" si="37"/>
        <v>45721</v>
      </c>
      <c r="D129" s="166">
        <f t="shared" si="37"/>
        <v>45740</v>
      </c>
      <c r="E129" s="157" t="s">
        <v>15</v>
      </c>
      <c r="F129" s="86">
        <v>9</v>
      </c>
      <c r="G129" s="152">
        <v>8</v>
      </c>
      <c r="H129" s="153">
        <f t="shared" si="25"/>
        <v>14.082031249469972</v>
      </c>
      <c r="I129" s="153">
        <f t="shared" si="39"/>
        <v>15.202428570079263</v>
      </c>
      <c r="J129" s="104">
        <f t="shared" si="36"/>
        <v>121.61942856063411</v>
      </c>
      <c r="K129" s="154">
        <f t="shared" si="30"/>
        <v>112.65624999575978</v>
      </c>
      <c r="L129" s="155">
        <f>+J129-K129</f>
        <v>8.9631785648743261</v>
      </c>
      <c r="M129" s="104">
        <f t="shared" si="26"/>
        <v>0.64177672147387066</v>
      </c>
      <c r="N129" s="156">
        <f t="shared" si="27"/>
        <v>9.6049552863481971</v>
      </c>
      <c r="O129" s="104">
        <v>0</v>
      </c>
      <c r="P129" s="104">
        <v>0</v>
      </c>
      <c r="Q129" s="104">
        <v>0</v>
      </c>
      <c r="R129" s="156">
        <f t="shared" si="28"/>
        <v>9.6049552863481971</v>
      </c>
    </row>
    <row r="130" spans="1:18" x14ac:dyDescent="0.2">
      <c r="A130" s="86">
        <v>3</v>
      </c>
      <c r="B130" s="150">
        <f t="shared" si="35"/>
        <v>45717</v>
      </c>
      <c r="C130" s="166">
        <f t="shared" si="37"/>
        <v>45750</v>
      </c>
      <c r="D130" s="166">
        <f t="shared" si="37"/>
        <v>45771</v>
      </c>
      <c r="E130" s="157" t="s">
        <v>15</v>
      </c>
      <c r="F130" s="86">
        <v>9</v>
      </c>
      <c r="G130" s="152">
        <v>7</v>
      </c>
      <c r="H130" s="153">
        <f t="shared" si="25"/>
        <v>14.082031249469972</v>
      </c>
      <c r="I130" s="153">
        <f t="shared" si="39"/>
        <v>15.202428570079263</v>
      </c>
      <c r="J130" s="104">
        <f t="shared" si="36"/>
        <v>106.41699999055484</v>
      </c>
      <c r="K130" s="154">
        <f t="shared" si="30"/>
        <v>98.574218746289802</v>
      </c>
      <c r="L130" s="155">
        <f>+J130-K130</f>
        <v>7.8427812442650406</v>
      </c>
      <c r="M130" s="104">
        <f t="shared" si="26"/>
        <v>0.56155463128963679</v>
      </c>
      <c r="N130" s="156">
        <f t="shared" si="27"/>
        <v>8.4043358755546773</v>
      </c>
      <c r="O130" s="104">
        <v>0</v>
      </c>
      <c r="P130" s="104">
        <v>0</v>
      </c>
      <c r="Q130" s="104">
        <v>0</v>
      </c>
      <c r="R130" s="156">
        <f t="shared" si="28"/>
        <v>8.4043358755546773</v>
      </c>
    </row>
    <row r="131" spans="1:18" x14ac:dyDescent="0.2">
      <c r="A131" s="86">
        <v>4</v>
      </c>
      <c r="B131" s="150">
        <f t="shared" si="35"/>
        <v>45748</v>
      </c>
      <c r="C131" s="166">
        <f t="shared" si="37"/>
        <v>45782</v>
      </c>
      <c r="D131" s="166">
        <f t="shared" si="37"/>
        <v>45803</v>
      </c>
      <c r="E131" s="157" t="s">
        <v>15</v>
      </c>
      <c r="F131" s="86">
        <v>9</v>
      </c>
      <c r="G131" s="152">
        <v>3</v>
      </c>
      <c r="H131" s="153">
        <f t="shared" si="25"/>
        <v>14.082031249469972</v>
      </c>
      <c r="I131" s="153">
        <f t="shared" si="39"/>
        <v>15.202428570079263</v>
      </c>
      <c r="J131" s="104">
        <f t="shared" si="36"/>
        <v>45.60728571023779</v>
      </c>
      <c r="K131" s="154">
        <f t="shared" si="30"/>
        <v>42.246093748409919</v>
      </c>
      <c r="L131" s="155">
        <f t="shared" ref="L131:L141" si="40">+J131-K131</f>
        <v>3.3611919618278705</v>
      </c>
      <c r="M131" s="104">
        <f t="shared" si="26"/>
        <v>0.24066627055270151</v>
      </c>
      <c r="N131" s="156">
        <f t="shared" si="27"/>
        <v>3.6018582323805721</v>
      </c>
      <c r="O131" s="104">
        <v>0</v>
      </c>
      <c r="P131" s="104">
        <v>0</v>
      </c>
      <c r="Q131" s="104">
        <v>0</v>
      </c>
      <c r="R131" s="156">
        <f t="shared" si="28"/>
        <v>3.6018582323805721</v>
      </c>
    </row>
    <row r="132" spans="1:18" x14ac:dyDescent="0.2">
      <c r="A132" s="86">
        <v>5</v>
      </c>
      <c r="B132" s="150">
        <f t="shared" si="35"/>
        <v>45778</v>
      </c>
      <c r="C132" s="166">
        <f t="shared" si="37"/>
        <v>45812</v>
      </c>
      <c r="D132" s="166">
        <f t="shared" si="37"/>
        <v>45832</v>
      </c>
      <c r="E132" s="1" t="s">
        <v>15</v>
      </c>
      <c r="F132" s="86">
        <v>9</v>
      </c>
      <c r="G132" s="152">
        <v>5</v>
      </c>
      <c r="H132" s="153">
        <f t="shared" si="25"/>
        <v>14.082031249469972</v>
      </c>
      <c r="I132" s="153">
        <f t="shared" si="39"/>
        <v>15.202428570079263</v>
      </c>
      <c r="J132" s="104">
        <f t="shared" si="36"/>
        <v>76.012142850396316</v>
      </c>
      <c r="K132" s="154">
        <f t="shared" si="30"/>
        <v>70.41015624734986</v>
      </c>
      <c r="L132" s="155">
        <f t="shared" si="40"/>
        <v>5.6019866030464556</v>
      </c>
      <c r="M132" s="104">
        <f t="shared" si="26"/>
        <v>0.40111045092116915</v>
      </c>
      <c r="N132" s="156">
        <f t="shared" si="27"/>
        <v>6.0030970539676245</v>
      </c>
      <c r="O132" s="104">
        <v>0</v>
      </c>
      <c r="P132" s="104">
        <v>0</v>
      </c>
      <c r="Q132" s="104">
        <v>0</v>
      </c>
      <c r="R132" s="156">
        <f t="shared" si="28"/>
        <v>6.0030970539676245</v>
      </c>
    </row>
    <row r="133" spans="1:18" x14ac:dyDescent="0.2">
      <c r="A133" s="86">
        <v>6</v>
      </c>
      <c r="B133" s="150">
        <f t="shared" si="35"/>
        <v>45809</v>
      </c>
      <c r="C133" s="166">
        <f t="shared" si="37"/>
        <v>45841</v>
      </c>
      <c r="D133" s="166">
        <f t="shared" si="37"/>
        <v>45862</v>
      </c>
      <c r="E133" s="1" t="s">
        <v>15</v>
      </c>
      <c r="F133" s="86">
        <v>9</v>
      </c>
      <c r="G133" s="152">
        <v>10</v>
      </c>
      <c r="H133" s="153">
        <f t="shared" si="25"/>
        <v>14.082031249469972</v>
      </c>
      <c r="I133" s="153">
        <f t="shared" si="39"/>
        <v>15.202428570079263</v>
      </c>
      <c r="J133" s="104">
        <f t="shared" si="36"/>
        <v>152.02428570079263</v>
      </c>
      <c r="K133" s="154">
        <f t="shared" si="30"/>
        <v>140.82031249469972</v>
      </c>
      <c r="L133" s="155">
        <f t="shared" si="40"/>
        <v>11.203973206092911</v>
      </c>
      <c r="M133" s="104">
        <f t="shared" si="26"/>
        <v>0.8022209018423383</v>
      </c>
      <c r="N133" s="156">
        <f t="shared" si="27"/>
        <v>12.006194107935249</v>
      </c>
      <c r="O133" s="104">
        <v>0</v>
      </c>
      <c r="P133" s="104">
        <v>0</v>
      </c>
      <c r="Q133" s="104">
        <v>0</v>
      </c>
      <c r="R133" s="156">
        <f t="shared" si="28"/>
        <v>12.006194107935249</v>
      </c>
    </row>
    <row r="134" spans="1:18" x14ac:dyDescent="0.2">
      <c r="A134" s="86">
        <v>7</v>
      </c>
      <c r="B134" s="150">
        <f t="shared" si="35"/>
        <v>45839</v>
      </c>
      <c r="C134" s="166">
        <f t="shared" si="37"/>
        <v>45874</v>
      </c>
      <c r="D134" s="166">
        <f t="shared" si="37"/>
        <v>45894</v>
      </c>
      <c r="E134" s="1" t="s">
        <v>15</v>
      </c>
      <c r="F134" s="86">
        <v>9</v>
      </c>
      <c r="G134" s="152">
        <v>17</v>
      </c>
      <c r="H134" s="153">
        <f t="shared" si="25"/>
        <v>14.082031249469972</v>
      </c>
      <c r="I134" s="153">
        <f t="shared" si="39"/>
        <v>15.202428570079263</v>
      </c>
      <c r="J134" s="104">
        <f t="shared" si="36"/>
        <v>258.4412856913475</v>
      </c>
      <c r="K134" s="154">
        <f t="shared" ref="K134:K197" si="41">+$G134*H134</f>
        <v>239.39453124098952</v>
      </c>
      <c r="L134" s="155">
        <f t="shared" si="40"/>
        <v>19.04675445035798</v>
      </c>
      <c r="M134" s="104">
        <f t="shared" si="26"/>
        <v>1.3637755331319752</v>
      </c>
      <c r="N134" s="156">
        <f t="shared" si="27"/>
        <v>20.410529983489955</v>
      </c>
      <c r="O134" s="104">
        <v>0</v>
      </c>
      <c r="P134" s="104">
        <v>0</v>
      </c>
      <c r="Q134" s="104">
        <v>0</v>
      </c>
      <c r="R134" s="156">
        <f t="shared" si="28"/>
        <v>20.410529983489955</v>
      </c>
    </row>
    <row r="135" spans="1:18" x14ac:dyDescent="0.2">
      <c r="A135" s="86">
        <v>8</v>
      </c>
      <c r="B135" s="150">
        <f t="shared" si="35"/>
        <v>45870</v>
      </c>
      <c r="C135" s="166">
        <f t="shared" si="37"/>
        <v>45904</v>
      </c>
      <c r="D135" s="166">
        <f t="shared" si="37"/>
        <v>45924</v>
      </c>
      <c r="E135" s="1" t="s">
        <v>15</v>
      </c>
      <c r="F135" s="86">
        <v>9</v>
      </c>
      <c r="G135" s="152">
        <v>16</v>
      </c>
      <c r="H135" s="153">
        <f t="shared" si="25"/>
        <v>14.082031249469972</v>
      </c>
      <c r="I135" s="153">
        <f t="shared" si="39"/>
        <v>15.202428570079263</v>
      </c>
      <c r="J135" s="104">
        <f t="shared" si="36"/>
        <v>243.23885712126821</v>
      </c>
      <c r="K135" s="154">
        <f t="shared" si="41"/>
        <v>225.31249999151956</v>
      </c>
      <c r="L135" s="155">
        <f t="shared" si="40"/>
        <v>17.926357129748652</v>
      </c>
      <c r="M135" s="104">
        <f t="shared" si="26"/>
        <v>1.2835534429477413</v>
      </c>
      <c r="N135" s="156">
        <f t="shared" si="27"/>
        <v>19.209910572696394</v>
      </c>
      <c r="O135" s="104">
        <v>0</v>
      </c>
      <c r="P135" s="104">
        <v>0</v>
      </c>
      <c r="Q135" s="104">
        <v>0</v>
      </c>
      <c r="R135" s="156">
        <f t="shared" si="28"/>
        <v>19.209910572696394</v>
      </c>
    </row>
    <row r="136" spans="1:18" x14ac:dyDescent="0.2">
      <c r="A136" s="86">
        <v>9</v>
      </c>
      <c r="B136" s="150">
        <f t="shared" si="35"/>
        <v>45901</v>
      </c>
      <c r="C136" s="166">
        <f t="shared" si="37"/>
        <v>45933</v>
      </c>
      <c r="D136" s="166">
        <f t="shared" si="37"/>
        <v>45954</v>
      </c>
      <c r="E136" s="1" t="s">
        <v>15</v>
      </c>
      <c r="F136" s="86">
        <v>9</v>
      </c>
      <c r="G136" s="152">
        <v>8</v>
      </c>
      <c r="H136" s="153">
        <f t="shared" si="25"/>
        <v>14.082031249469972</v>
      </c>
      <c r="I136" s="153">
        <f t="shared" si="39"/>
        <v>15.202428570079263</v>
      </c>
      <c r="J136" s="104">
        <f t="shared" si="36"/>
        <v>121.61942856063411</v>
      </c>
      <c r="K136" s="154">
        <f t="shared" si="41"/>
        <v>112.65624999575978</v>
      </c>
      <c r="L136" s="155">
        <f t="shared" si="40"/>
        <v>8.9631785648743261</v>
      </c>
      <c r="M136" s="104">
        <f t="shared" si="26"/>
        <v>0.64177672147387066</v>
      </c>
      <c r="N136" s="156">
        <f t="shared" si="27"/>
        <v>9.6049552863481971</v>
      </c>
      <c r="O136" s="104">
        <v>0</v>
      </c>
      <c r="P136" s="104">
        <v>0</v>
      </c>
      <c r="Q136" s="104">
        <v>0</v>
      </c>
      <c r="R136" s="156">
        <f t="shared" si="28"/>
        <v>9.6049552863481971</v>
      </c>
    </row>
    <row r="137" spans="1:18" x14ac:dyDescent="0.2">
      <c r="A137" s="86">
        <v>10</v>
      </c>
      <c r="B137" s="150">
        <f t="shared" si="35"/>
        <v>45931</v>
      </c>
      <c r="C137" s="166">
        <f t="shared" si="37"/>
        <v>45966</v>
      </c>
      <c r="D137" s="166">
        <f t="shared" si="37"/>
        <v>45985</v>
      </c>
      <c r="E137" s="1" t="s">
        <v>15</v>
      </c>
      <c r="F137" s="86">
        <v>9</v>
      </c>
      <c r="G137" s="152">
        <v>8</v>
      </c>
      <c r="H137" s="153">
        <f t="shared" si="25"/>
        <v>14.082031249469972</v>
      </c>
      <c r="I137" s="153">
        <f t="shared" si="39"/>
        <v>15.202428570079263</v>
      </c>
      <c r="J137" s="104">
        <f t="shared" si="36"/>
        <v>121.61942856063411</v>
      </c>
      <c r="K137" s="154">
        <f t="shared" si="41"/>
        <v>112.65624999575978</v>
      </c>
      <c r="L137" s="155">
        <f t="shared" si="40"/>
        <v>8.9631785648743261</v>
      </c>
      <c r="M137" s="104">
        <f t="shared" si="26"/>
        <v>0.64177672147387066</v>
      </c>
      <c r="N137" s="156">
        <f t="shared" si="27"/>
        <v>9.6049552863481971</v>
      </c>
      <c r="O137" s="104">
        <v>0</v>
      </c>
      <c r="P137" s="104">
        <v>0</v>
      </c>
      <c r="Q137" s="104">
        <v>0</v>
      </c>
      <c r="R137" s="156">
        <f t="shared" si="28"/>
        <v>9.6049552863481971</v>
      </c>
    </row>
    <row r="138" spans="1:18" x14ac:dyDescent="0.2">
      <c r="A138" s="86">
        <v>11</v>
      </c>
      <c r="B138" s="150">
        <f t="shared" si="35"/>
        <v>45962</v>
      </c>
      <c r="C138" s="166">
        <f t="shared" si="37"/>
        <v>45994</v>
      </c>
      <c r="D138" s="166">
        <f t="shared" si="37"/>
        <v>46015</v>
      </c>
      <c r="E138" s="1" t="s">
        <v>15</v>
      </c>
      <c r="F138" s="86">
        <v>9</v>
      </c>
      <c r="G138" s="152">
        <v>6</v>
      </c>
      <c r="H138" s="153">
        <f t="shared" si="25"/>
        <v>14.082031249469972</v>
      </c>
      <c r="I138" s="153">
        <f t="shared" si="39"/>
        <v>15.202428570079263</v>
      </c>
      <c r="J138" s="104">
        <f t="shared" si="36"/>
        <v>91.214571420475579</v>
      </c>
      <c r="K138" s="154">
        <f t="shared" si="41"/>
        <v>84.492187496819838</v>
      </c>
      <c r="L138" s="155">
        <f t="shared" si="40"/>
        <v>6.722383923655741</v>
      </c>
      <c r="M138" s="104">
        <f t="shared" si="26"/>
        <v>0.48133254110540302</v>
      </c>
      <c r="N138" s="156">
        <f t="shared" si="27"/>
        <v>7.2037164647611442</v>
      </c>
      <c r="O138" s="104">
        <v>0</v>
      </c>
      <c r="P138" s="104">
        <v>0</v>
      </c>
      <c r="Q138" s="104">
        <v>0</v>
      </c>
      <c r="R138" s="156">
        <f t="shared" si="28"/>
        <v>7.2037164647611442</v>
      </c>
    </row>
    <row r="139" spans="1:18" s="170" customFormat="1" x14ac:dyDescent="0.2">
      <c r="A139" s="86">
        <v>12</v>
      </c>
      <c r="B139" s="168">
        <f t="shared" si="35"/>
        <v>45992</v>
      </c>
      <c r="C139" s="166">
        <f t="shared" si="37"/>
        <v>46028</v>
      </c>
      <c r="D139" s="166">
        <f t="shared" si="37"/>
        <v>46048</v>
      </c>
      <c r="E139" s="169" t="s">
        <v>15</v>
      </c>
      <c r="F139" s="127">
        <v>9</v>
      </c>
      <c r="G139" s="190">
        <v>7</v>
      </c>
      <c r="H139" s="158">
        <f t="shared" si="25"/>
        <v>14.082031249469972</v>
      </c>
      <c r="I139" s="158">
        <f t="shared" si="39"/>
        <v>15.202428570079263</v>
      </c>
      <c r="J139" s="159">
        <f t="shared" si="36"/>
        <v>106.41699999055484</v>
      </c>
      <c r="K139" s="160">
        <f t="shared" si="41"/>
        <v>98.574218746289802</v>
      </c>
      <c r="L139" s="161">
        <f t="shared" si="40"/>
        <v>7.8427812442650406</v>
      </c>
      <c r="M139" s="159">
        <f t="shared" si="26"/>
        <v>0.56155463128963679</v>
      </c>
      <c r="N139" s="191">
        <f t="shared" si="27"/>
        <v>8.4043358755546773</v>
      </c>
      <c r="O139" s="159">
        <v>0</v>
      </c>
      <c r="P139" s="159">
        <v>0</v>
      </c>
      <c r="Q139" s="159">
        <v>0</v>
      </c>
      <c r="R139" s="191">
        <f t="shared" si="28"/>
        <v>8.4043358755546773</v>
      </c>
    </row>
    <row r="140" spans="1:18" x14ac:dyDescent="0.2">
      <c r="A140" s="86">
        <v>1</v>
      </c>
      <c r="B140" s="150">
        <f t="shared" si="35"/>
        <v>45658</v>
      </c>
      <c r="C140" s="163">
        <f t="shared" ref="C140:D151" si="42">+C128</f>
        <v>45693</v>
      </c>
      <c r="D140" s="163">
        <f t="shared" si="42"/>
        <v>45712</v>
      </c>
      <c r="E140" s="173" t="s">
        <v>16</v>
      </c>
      <c r="F140" s="86">
        <v>9</v>
      </c>
      <c r="G140" s="152">
        <v>2</v>
      </c>
      <c r="H140" s="153">
        <f t="shared" si="25"/>
        <v>14.082031249469972</v>
      </c>
      <c r="I140" s="153">
        <f t="shared" si="39"/>
        <v>15.202428570079263</v>
      </c>
      <c r="J140" s="104">
        <f t="shared" si="36"/>
        <v>30.404857140158526</v>
      </c>
      <c r="K140" s="154">
        <f t="shared" si="41"/>
        <v>28.164062498939945</v>
      </c>
      <c r="L140" s="155">
        <f t="shared" si="40"/>
        <v>2.2407946412185815</v>
      </c>
      <c r="M140" s="104">
        <f t="shared" si="26"/>
        <v>0.16044418036846766</v>
      </c>
      <c r="N140" s="156">
        <f t="shared" si="27"/>
        <v>2.4012388215870493</v>
      </c>
      <c r="O140" s="104">
        <v>0</v>
      </c>
      <c r="P140" s="104">
        <v>0</v>
      </c>
      <c r="Q140" s="104">
        <v>0</v>
      </c>
      <c r="R140" s="156">
        <f t="shared" si="28"/>
        <v>2.4012388215870493</v>
      </c>
    </row>
    <row r="141" spans="1:18" x14ac:dyDescent="0.2">
      <c r="A141" s="86">
        <v>2</v>
      </c>
      <c r="B141" s="150">
        <f t="shared" si="35"/>
        <v>45689</v>
      </c>
      <c r="C141" s="166">
        <f t="shared" si="42"/>
        <v>45721</v>
      </c>
      <c r="D141" s="166">
        <f t="shared" si="42"/>
        <v>45740</v>
      </c>
      <c r="E141" s="1" t="s">
        <v>16</v>
      </c>
      <c r="F141" s="86">
        <v>9</v>
      </c>
      <c r="G141" s="152">
        <v>3</v>
      </c>
      <c r="H141" s="153">
        <f t="shared" si="25"/>
        <v>14.082031249469972</v>
      </c>
      <c r="I141" s="153">
        <f t="shared" si="39"/>
        <v>15.202428570079263</v>
      </c>
      <c r="J141" s="104">
        <f t="shared" si="36"/>
        <v>45.60728571023779</v>
      </c>
      <c r="K141" s="154">
        <f t="shared" si="41"/>
        <v>42.246093748409919</v>
      </c>
      <c r="L141" s="155">
        <f t="shared" si="40"/>
        <v>3.3611919618278705</v>
      </c>
      <c r="M141" s="104">
        <f t="shared" si="26"/>
        <v>0.24066627055270151</v>
      </c>
      <c r="N141" s="156">
        <f t="shared" si="27"/>
        <v>3.6018582323805721</v>
      </c>
      <c r="O141" s="104">
        <v>0</v>
      </c>
      <c r="P141" s="104">
        <v>0</v>
      </c>
      <c r="Q141" s="104">
        <v>0</v>
      </c>
      <c r="R141" s="156">
        <f t="shared" si="28"/>
        <v>3.6018582323805721</v>
      </c>
    </row>
    <row r="142" spans="1:18" x14ac:dyDescent="0.2">
      <c r="A142" s="86">
        <v>3</v>
      </c>
      <c r="B142" s="150">
        <f t="shared" si="35"/>
        <v>45717</v>
      </c>
      <c r="C142" s="166">
        <f t="shared" si="42"/>
        <v>45750</v>
      </c>
      <c r="D142" s="166">
        <f t="shared" si="42"/>
        <v>45771</v>
      </c>
      <c r="E142" s="1" t="s">
        <v>16</v>
      </c>
      <c r="F142" s="86">
        <v>9</v>
      </c>
      <c r="G142" s="152">
        <v>2</v>
      </c>
      <c r="H142" s="153">
        <f t="shared" si="25"/>
        <v>14.082031249469972</v>
      </c>
      <c r="I142" s="153">
        <f t="shared" si="39"/>
        <v>15.202428570079263</v>
      </c>
      <c r="J142" s="104">
        <f t="shared" si="36"/>
        <v>30.404857140158526</v>
      </c>
      <c r="K142" s="154">
        <f t="shared" si="41"/>
        <v>28.164062498939945</v>
      </c>
      <c r="L142" s="155">
        <f>+J142-K142</f>
        <v>2.2407946412185815</v>
      </c>
      <c r="M142" s="104">
        <f t="shared" si="26"/>
        <v>0.16044418036846766</v>
      </c>
      <c r="N142" s="156">
        <f t="shared" si="27"/>
        <v>2.4012388215870493</v>
      </c>
      <c r="O142" s="104">
        <v>0</v>
      </c>
      <c r="P142" s="104">
        <v>0</v>
      </c>
      <c r="Q142" s="104">
        <v>0</v>
      </c>
      <c r="R142" s="156">
        <f t="shared" si="28"/>
        <v>2.4012388215870493</v>
      </c>
    </row>
    <row r="143" spans="1:18" x14ac:dyDescent="0.2">
      <c r="A143" s="86">
        <v>4</v>
      </c>
      <c r="B143" s="150">
        <f t="shared" si="35"/>
        <v>45748</v>
      </c>
      <c r="C143" s="166">
        <f t="shared" si="42"/>
        <v>45782</v>
      </c>
      <c r="D143" s="166">
        <f t="shared" si="42"/>
        <v>45803</v>
      </c>
      <c r="E143" s="1" t="s">
        <v>16</v>
      </c>
      <c r="F143" s="86">
        <v>9</v>
      </c>
      <c r="G143" s="152">
        <v>1</v>
      </c>
      <c r="H143" s="153">
        <f t="shared" si="25"/>
        <v>14.082031249469972</v>
      </c>
      <c r="I143" s="153">
        <f t="shared" si="39"/>
        <v>15.202428570079263</v>
      </c>
      <c r="J143" s="104">
        <f t="shared" si="36"/>
        <v>15.202428570079263</v>
      </c>
      <c r="K143" s="154">
        <f t="shared" si="41"/>
        <v>14.082031249469972</v>
      </c>
      <c r="L143" s="155">
        <f t="shared" ref="L143:L153" si="43">+J143-K143</f>
        <v>1.1203973206092908</v>
      </c>
      <c r="M143" s="104">
        <f t="shared" si="26"/>
        <v>8.0222090184233832E-2</v>
      </c>
      <c r="N143" s="156">
        <f t="shared" si="27"/>
        <v>1.2006194107935246</v>
      </c>
      <c r="O143" s="104">
        <v>0</v>
      </c>
      <c r="P143" s="104">
        <v>0</v>
      </c>
      <c r="Q143" s="104">
        <v>0</v>
      </c>
      <c r="R143" s="156">
        <f t="shared" si="28"/>
        <v>1.2006194107935246</v>
      </c>
    </row>
    <row r="144" spans="1:18" x14ac:dyDescent="0.2">
      <c r="A144" s="86">
        <v>5</v>
      </c>
      <c r="B144" s="150">
        <f t="shared" si="35"/>
        <v>45778</v>
      </c>
      <c r="C144" s="166">
        <f t="shared" si="42"/>
        <v>45812</v>
      </c>
      <c r="D144" s="166">
        <f t="shared" si="42"/>
        <v>45832</v>
      </c>
      <c r="E144" s="1" t="s">
        <v>16</v>
      </c>
      <c r="F144" s="86">
        <v>9</v>
      </c>
      <c r="G144" s="152">
        <v>2</v>
      </c>
      <c r="H144" s="153">
        <f t="shared" si="25"/>
        <v>14.082031249469972</v>
      </c>
      <c r="I144" s="153">
        <f t="shared" si="39"/>
        <v>15.202428570079263</v>
      </c>
      <c r="J144" s="104">
        <f t="shared" si="36"/>
        <v>30.404857140158526</v>
      </c>
      <c r="K144" s="154">
        <f t="shared" si="41"/>
        <v>28.164062498939945</v>
      </c>
      <c r="L144" s="155">
        <f t="shared" si="43"/>
        <v>2.2407946412185815</v>
      </c>
      <c r="M144" s="104">
        <f t="shared" si="26"/>
        <v>0.16044418036846766</v>
      </c>
      <c r="N144" s="156">
        <f t="shared" si="27"/>
        <v>2.4012388215870493</v>
      </c>
      <c r="O144" s="104">
        <v>0</v>
      </c>
      <c r="P144" s="104">
        <v>0</v>
      </c>
      <c r="Q144" s="104">
        <v>0</v>
      </c>
      <c r="R144" s="156">
        <f t="shared" si="28"/>
        <v>2.4012388215870493</v>
      </c>
    </row>
    <row r="145" spans="1:18" x14ac:dyDescent="0.2">
      <c r="A145" s="86">
        <v>6</v>
      </c>
      <c r="B145" s="150">
        <f t="shared" si="35"/>
        <v>45809</v>
      </c>
      <c r="C145" s="166">
        <f t="shared" si="42"/>
        <v>45841</v>
      </c>
      <c r="D145" s="166">
        <f t="shared" si="42"/>
        <v>45862</v>
      </c>
      <c r="E145" s="1" t="s">
        <v>16</v>
      </c>
      <c r="F145" s="86">
        <v>9</v>
      </c>
      <c r="G145" s="152">
        <v>3</v>
      </c>
      <c r="H145" s="153">
        <f t="shared" si="25"/>
        <v>14.082031249469972</v>
      </c>
      <c r="I145" s="153">
        <f t="shared" si="39"/>
        <v>15.202428570079263</v>
      </c>
      <c r="J145" s="104">
        <f t="shared" si="36"/>
        <v>45.60728571023779</v>
      </c>
      <c r="K145" s="154">
        <f t="shared" si="41"/>
        <v>42.246093748409919</v>
      </c>
      <c r="L145" s="155">
        <f t="shared" si="43"/>
        <v>3.3611919618278705</v>
      </c>
      <c r="M145" s="104">
        <f t="shared" si="26"/>
        <v>0.24066627055270151</v>
      </c>
      <c r="N145" s="156">
        <f t="shared" si="27"/>
        <v>3.6018582323805721</v>
      </c>
      <c r="O145" s="104">
        <v>0</v>
      </c>
      <c r="P145" s="104">
        <v>0</v>
      </c>
      <c r="Q145" s="104">
        <v>0</v>
      </c>
      <c r="R145" s="156">
        <f t="shared" si="28"/>
        <v>3.6018582323805721</v>
      </c>
    </row>
    <row r="146" spans="1:18" x14ac:dyDescent="0.2">
      <c r="A146" s="86">
        <v>7</v>
      </c>
      <c r="B146" s="150">
        <f t="shared" si="35"/>
        <v>45839</v>
      </c>
      <c r="C146" s="166">
        <f t="shared" si="42"/>
        <v>45874</v>
      </c>
      <c r="D146" s="166">
        <f t="shared" si="42"/>
        <v>45894</v>
      </c>
      <c r="E146" s="1" t="s">
        <v>16</v>
      </c>
      <c r="F146" s="86">
        <v>9</v>
      </c>
      <c r="G146" s="152">
        <v>7</v>
      </c>
      <c r="H146" s="153">
        <f t="shared" si="25"/>
        <v>14.082031249469972</v>
      </c>
      <c r="I146" s="153">
        <f t="shared" si="39"/>
        <v>15.202428570079263</v>
      </c>
      <c r="J146" s="104">
        <f t="shared" si="36"/>
        <v>106.41699999055484</v>
      </c>
      <c r="K146" s="154">
        <f t="shared" si="41"/>
        <v>98.574218746289802</v>
      </c>
      <c r="L146" s="155">
        <f t="shared" si="43"/>
        <v>7.8427812442650406</v>
      </c>
      <c r="M146" s="104">
        <f t="shared" si="26"/>
        <v>0.56155463128963679</v>
      </c>
      <c r="N146" s="156">
        <f t="shared" si="27"/>
        <v>8.4043358755546773</v>
      </c>
      <c r="O146" s="104">
        <v>0</v>
      </c>
      <c r="P146" s="104">
        <v>0</v>
      </c>
      <c r="Q146" s="104">
        <v>0</v>
      </c>
      <c r="R146" s="156">
        <f t="shared" si="28"/>
        <v>8.4043358755546773</v>
      </c>
    </row>
    <row r="147" spans="1:18" x14ac:dyDescent="0.2">
      <c r="A147" s="86">
        <v>8</v>
      </c>
      <c r="B147" s="150">
        <f t="shared" si="35"/>
        <v>45870</v>
      </c>
      <c r="C147" s="166">
        <f t="shared" si="42"/>
        <v>45904</v>
      </c>
      <c r="D147" s="166">
        <f t="shared" si="42"/>
        <v>45924</v>
      </c>
      <c r="E147" s="1" t="s">
        <v>16</v>
      </c>
      <c r="F147" s="86">
        <v>9</v>
      </c>
      <c r="G147" s="152">
        <v>5</v>
      </c>
      <c r="H147" s="153">
        <f t="shared" si="25"/>
        <v>14.082031249469972</v>
      </c>
      <c r="I147" s="153">
        <f t="shared" si="39"/>
        <v>15.202428570079263</v>
      </c>
      <c r="J147" s="104">
        <f t="shared" si="36"/>
        <v>76.012142850396316</v>
      </c>
      <c r="K147" s="154">
        <f t="shared" si="41"/>
        <v>70.41015624734986</v>
      </c>
      <c r="L147" s="155">
        <f t="shared" si="43"/>
        <v>5.6019866030464556</v>
      </c>
      <c r="M147" s="104">
        <f t="shared" si="26"/>
        <v>0.40111045092116915</v>
      </c>
      <c r="N147" s="156">
        <f t="shared" si="27"/>
        <v>6.0030970539676245</v>
      </c>
      <c r="O147" s="104">
        <v>0</v>
      </c>
      <c r="P147" s="104">
        <v>0</v>
      </c>
      <c r="Q147" s="104">
        <v>0</v>
      </c>
      <c r="R147" s="156">
        <f t="shared" si="28"/>
        <v>6.0030970539676245</v>
      </c>
    </row>
    <row r="148" spans="1:18" x14ac:dyDescent="0.2">
      <c r="A148" s="86">
        <v>9</v>
      </c>
      <c r="B148" s="150">
        <f t="shared" si="35"/>
        <v>45901</v>
      </c>
      <c r="C148" s="166">
        <f t="shared" si="42"/>
        <v>45933</v>
      </c>
      <c r="D148" s="166">
        <f t="shared" si="42"/>
        <v>45954</v>
      </c>
      <c r="E148" s="1" t="s">
        <v>16</v>
      </c>
      <c r="F148" s="86">
        <v>9</v>
      </c>
      <c r="G148" s="152">
        <v>2</v>
      </c>
      <c r="H148" s="153">
        <f t="shared" si="25"/>
        <v>14.082031249469972</v>
      </c>
      <c r="I148" s="153">
        <f t="shared" ref="I148:I179" si="44">$J$3</f>
        <v>15.202428570079263</v>
      </c>
      <c r="J148" s="104">
        <f t="shared" si="36"/>
        <v>30.404857140158526</v>
      </c>
      <c r="K148" s="154">
        <f t="shared" si="41"/>
        <v>28.164062498939945</v>
      </c>
      <c r="L148" s="155">
        <f t="shared" si="43"/>
        <v>2.2407946412185815</v>
      </c>
      <c r="M148" s="104">
        <f t="shared" si="26"/>
        <v>0.16044418036846766</v>
      </c>
      <c r="N148" s="156">
        <f t="shared" si="27"/>
        <v>2.4012388215870493</v>
      </c>
      <c r="O148" s="104">
        <v>0</v>
      </c>
      <c r="P148" s="104">
        <v>0</v>
      </c>
      <c r="Q148" s="104">
        <v>0</v>
      </c>
      <c r="R148" s="156">
        <f t="shared" si="28"/>
        <v>2.4012388215870493</v>
      </c>
    </row>
    <row r="149" spans="1:18" x14ac:dyDescent="0.2">
      <c r="A149" s="86">
        <v>10</v>
      </c>
      <c r="B149" s="150">
        <f t="shared" ref="B149:B211" si="45">DATE($R$1,A149,1)</f>
        <v>45931</v>
      </c>
      <c r="C149" s="166">
        <f t="shared" si="42"/>
        <v>45966</v>
      </c>
      <c r="D149" s="166">
        <f t="shared" si="42"/>
        <v>45985</v>
      </c>
      <c r="E149" s="1" t="s">
        <v>16</v>
      </c>
      <c r="F149" s="86">
        <v>9</v>
      </c>
      <c r="G149" s="152">
        <v>3</v>
      </c>
      <c r="H149" s="153">
        <f t="shared" ref="H149:H211" si="46">+$K$3</f>
        <v>14.082031249469972</v>
      </c>
      <c r="I149" s="153">
        <f t="shared" si="44"/>
        <v>15.202428570079263</v>
      </c>
      <c r="J149" s="104">
        <f t="shared" ref="J149:J211" si="47">+$G149*I149</f>
        <v>45.60728571023779</v>
      </c>
      <c r="K149" s="154">
        <f t="shared" si="41"/>
        <v>42.246093748409919</v>
      </c>
      <c r="L149" s="155">
        <f t="shared" si="43"/>
        <v>3.3611919618278705</v>
      </c>
      <c r="M149" s="104">
        <f t="shared" ref="M149:M211" si="48">G149/$G$212*$M$14</f>
        <v>0.24066627055270151</v>
      </c>
      <c r="N149" s="156">
        <f t="shared" ref="N149:N211" si="49">SUM(L149:M149)</f>
        <v>3.6018582323805721</v>
      </c>
      <c r="O149" s="104">
        <v>0</v>
      </c>
      <c r="P149" s="104">
        <v>0</v>
      </c>
      <c r="Q149" s="104">
        <v>0</v>
      </c>
      <c r="R149" s="156">
        <f t="shared" ref="R149:R211" si="50">+N149-Q149</f>
        <v>3.6018582323805721</v>
      </c>
    </row>
    <row r="150" spans="1:18" x14ac:dyDescent="0.2">
      <c r="A150" s="86">
        <v>11</v>
      </c>
      <c r="B150" s="150">
        <f t="shared" si="45"/>
        <v>45962</v>
      </c>
      <c r="C150" s="166">
        <f t="shared" si="42"/>
        <v>45994</v>
      </c>
      <c r="D150" s="166">
        <f t="shared" si="42"/>
        <v>46015</v>
      </c>
      <c r="E150" s="1" t="s">
        <v>16</v>
      </c>
      <c r="F150" s="86">
        <v>9</v>
      </c>
      <c r="G150" s="152">
        <v>1</v>
      </c>
      <c r="H150" s="153">
        <f t="shared" si="46"/>
        <v>14.082031249469972</v>
      </c>
      <c r="I150" s="153">
        <f t="shared" si="44"/>
        <v>15.202428570079263</v>
      </c>
      <c r="J150" s="104">
        <f t="shared" si="47"/>
        <v>15.202428570079263</v>
      </c>
      <c r="K150" s="154">
        <f t="shared" si="41"/>
        <v>14.082031249469972</v>
      </c>
      <c r="L150" s="155">
        <f t="shared" si="43"/>
        <v>1.1203973206092908</v>
      </c>
      <c r="M150" s="104">
        <f t="shared" si="48"/>
        <v>8.0222090184233832E-2</v>
      </c>
      <c r="N150" s="156">
        <f t="shared" si="49"/>
        <v>1.2006194107935246</v>
      </c>
      <c r="O150" s="104">
        <v>0</v>
      </c>
      <c r="P150" s="104">
        <v>0</v>
      </c>
      <c r="Q150" s="104">
        <v>0</v>
      </c>
      <c r="R150" s="156">
        <f t="shared" si="50"/>
        <v>1.2006194107935246</v>
      </c>
    </row>
    <row r="151" spans="1:18" s="170" customFormat="1" x14ac:dyDescent="0.2">
      <c r="A151" s="86">
        <v>12</v>
      </c>
      <c r="B151" s="168">
        <f t="shared" si="45"/>
        <v>45992</v>
      </c>
      <c r="C151" s="166">
        <f t="shared" si="42"/>
        <v>46028</v>
      </c>
      <c r="D151" s="166">
        <f t="shared" si="42"/>
        <v>46048</v>
      </c>
      <c r="E151" s="169" t="s">
        <v>16</v>
      </c>
      <c r="F151" s="127">
        <v>9</v>
      </c>
      <c r="G151" s="190">
        <v>2</v>
      </c>
      <c r="H151" s="158">
        <f t="shared" si="46"/>
        <v>14.082031249469972</v>
      </c>
      <c r="I151" s="158">
        <f t="shared" si="44"/>
        <v>15.202428570079263</v>
      </c>
      <c r="J151" s="159">
        <f t="shared" si="47"/>
        <v>30.404857140158526</v>
      </c>
      <c r="K151" s="160">
        <f t="shared" si="41"/>
        <v>28.164062498939945</v>
      </c>
      <c r="L151" s="161">
        <f t="shared" si="43"/>
        <v>2.2407946412185815</v>
      </c>
      <c r="M151" s="159">
        <f t="shared" si="48"/>
        <v>0.16044418036846766</v>
      </c>
      <c r="N151" s="191">
        <f t="shared" si="49"/>
        <v>2.4012388215870493</v>
      </c>
      <c r="O151" s="159">
        <v>0</v>
      </c>
      <c r="P151" s="159">
        <v>0</v>
      </c>
      <c r="Q151" s="159">
        <v>0</v>
      </c>
      <c r="R151" s="191">
        <f t="shared" si="50"/>
        <v>2.4012388215870493</v>
      </c>
    </row>
    <row r="152" spans="1:18" x14ac:dyDescent="0.2">
      <c r="A152" s="86">
        <v>1</v>
      </c>
      <c r="B152" s="150">
        <f t="shared" si="45"/>
        <v>45658</v>
      </c>
      <c r="C152" s="163">
        <f t="shared" ref="C152:D171" si="51">+C140</f>
        <v>45693</v>
      </c>
      <c r="D152" s="163">
        <f t="shared" si="51"/>
        <v>45712</v>
      </c>
      <c r="E152" s="173" t="s">
        <v>53</v>
      </c>
      <c r="F152" s="86">
        <v>9</v>
      </c>
      <c r="G152" s="152">
        <v>137</v>
      </c>
      <c r="H152" s="153">
        <f t="shared" si="46"/>
        <v>14.082031249469972</v>
      </c>
      <c r="I152" s="153">
        <f t="shared" si="44"/>
        <v>15.202428570079263</v>
      </c>
      <c r="J152" s="104">
        <f t="shared" si="47"/>
        <v>2082.7327141008591</v>
      </c>
      <c r="K152" s="154">
        <f t="shared" si="41"/>
        <v>1929.2382811773862</v>
      </c>
      <c r="L152" s="155">
        <f t="shared" si="43"/>
        <v>153.49443292347291</v>
      </c>
      <c r="M152" s="104">
        <f t="shared" si="48"/>
        <v>10.990426355240034</v>
      </c>
      <c r="N152" s="156">
        <f t="shared" si="49"/>
        <v>164.48485927871295</v>
      </c>
      <c r="O152" s="104">
        <v>0</v>
      </c>
      <c r="P152" s="104">
        <v>0</v>
      </c>
      <c r="Q152" s="104">
        <v>0</v>
      </c>
      <c r="R152" s="156">
        <f t="shared" si="50"/>
        <v>164.48485927871295</v>
      </c>
    </row>
    <row r="153" spans="1:18" x14ac:dyDescent="0.2">
      <c r="A153" s="86">
        <v>2</v>
      </c>
      <c r="B153" s="150">
        <f t="shared" si="45"/>
        <v>45689</v>
      </c>
      <c r="C153" s="166">
        <f t="shared" si="51"/>
        <v>45721</v>
      </c>
      <c r="D153" s="166">
        <f t="shared" si="51"/>
        <v>45740</v>
      </c>
      <c r="E153" s="174" t="s">
        <v>53</v>
      </c>
      <c r="F153" s="86">
        <v>9</v>
      </c>
      <c r="G153" s="152">
        <v>156</v>
      </c>
      <c r="H153" s="153">
        <f t="shared" si="46"/>
        <v>14.082031249469972</v>
      </c>
      <c r="I153" s="153">
        <f t="shared" si="44"/>
        <v>15.202428570079263</v>
      </c>
      <c r="J153" s="104">
        <f t="shared" si="47"/>
        <v>2371.5788569323649</v>
      </c>
      <c r="K153" s="154">
        <f t="shared" si="41"/>
        <v>2196.7968749173156</v>
      </c>
      <c r="L153" s="155">
        <f t="shared" si="43"/>
        <v>174.78198201504938</v>
      </c>
      <c r="M153" s="104">
        <f t="shared" si="48"/>
        <v>12.514646068740479</v>
      </c>
      <c r="N153" s="156">
        <f t="shared" si="49"/>
        <v>187.29662808378987</v>
      </c>
      <c r="O153" s="104">
        <v>0</v>
      </c>
      <c r="P153" s="104">
        <v>0</v>
      </c>
      <c r="Q153" s="104">
        <v>0</v>
      </c>
      <c r="R153" s="156">
        <f t="shared" si="50"/>
        <v>187.29662808378987</v>
      </c>
    </row>
    <row r="154" spans="1:18" x14ac:dyDescent="0.2">
      <c r="A154" s="86">
        <v>3</v>
      </c>
      <c r="B154" s="150">
        <f t="shared" si="45"/>
        <v>45717</v>
      </c>
      <c r="C154" s="166">
        <f t="shared" si="51"/>
        <v>45750</v>
      </c>
      <c r="D154" s="166">
        <f t="shared" si="51"/>
        <v>45771</v>
      </c>
      <c r="E154" s="174" t="s">
        <v>53</v>
      </c>
      <c r="F154" s="86">
        <v>9</v>
      </c>
      <c r="G154" s="152">
        <v>113</v>
      </c>
      <c r="H154" s="153">
        <f t="shared" si="46"/>
        <v>14.082031249469972</v>
      </c>
      <c r="I154" s="153">
        <f t="shared" si="44"/>
        <v>15.202428570079263</v>
      </c>
      <c r="J154" s="104">
        <f t="shared" si="47"/>
        <v>1717.8744284189568</v>
      </c>
      <c r="K154" s="154">
        <f t="shared" si="41"/>
        <v>1591.2695311901068</v>
      </c>
      <c r="L154" s="155">
        <f>+J154-K154</f>
        <v>126.60489722884995</v>
      </c>
      <c r="M154" s="104">
        <f t="shared" si="48"/>
        <v>9.0650961908184229</v>
      </c>
      <c r="N154" s="156">
        <f t="shared" si="49"/>
        <v>135.66999341966837</v>
      </c>
      <c r="O154" s="104">
        <v>0</v>
      </c>
      <c r="P154" s="104">
        <v>0</v>
      </c>
      <c r="Q154" s="104">
        <v>0</v>
      </c>
      <c r="R154" s="156">
        <f t="shared" si="50"/>
        <v>135.66999341966837</v>
      </c>
    </row>
    <row r="155" spans="1:18" x14ac:dyDescent="0.2">
      <c r="A155" s="86">
        <v>4</v>
      </c>
      <c r="B155" s="150">
        <f t="shared" si="45"/>
        <v>45748</v>
      </c>
      <c r="C155" s="166">
        <f t="shared" si="51"/>
        <v>45782</v>
      </c>
      <c r="D155" s="166">
        <f t="shared" si="51"/>
        <v>45803</v>
      </c>
      <c r="E155" s="174" t="s">
        <v>53</v>
      </c>
      <c r="F155" s="86">
        <v>9</v>
      </c>
      <c r="G155" s="152">
        <v>112</v>
      </c>
      <c r="H155" s="153">
        <f t="shared" si="46"/>
        <v>14.082031249469972</v>
      </c>
      <c r="I155" s="153">
        <f t="shared" si="44"/>
        <v>15.202428570079263</v>
      </c>
      <c r="J155" s="104">
        <f t="shared" si="47"/>
        <v>1702.6719998488775</v>
      </c>
      <c r="K155" s="154">
        <f t="shared" si="41"/>
        <v>1577.1874999406368</v>
      </c>
      <c r="L155" s="155">
        <f t="shared" ref="L155:L165" si="52">+J155-K155</f>
        <v>125.48449990824065</v>
      </c>
      <c r="M155" s="104">
        <f t="shared" si="48"/>
        <v>8.9848741006341886</v>
      </c>
      <c r="N155" s="156">
        <f t="shared" si="49"/>
        <v>134.46937400887484</v>
      </c>
      <c r="O155" s="104">
        <v>0</v>
      </c>
      <c r="P155" s="104">
        <v>0</v>
      </c>
      <c r="Q155" s="104">
        <v>0</v>
      </c>
      <c r="R155" s="156">
        <f t="shared" si="50"/>
        <v>134.46937400887484</v>
      </c>
    </row>
    <row r="156" spans="1:18" x14ac:dyDescent="0.2">
      <c r="A156" s="86">
        <v>5</v>
      </c>
      <c r="B156" s="150">
        <f t="shared" si="45"/>
        <v>45778</v>
      </c>
      <c r="C156" s="166">
        <f t="shared" si="51"/>
        <v>45812</v>
      </c>
      <c r="D156" s="166">
        <f t="shared" si="51"/>
        <v>45832</v>
      </c>
      <c r="E156" s="174" t="s">
        <v>53</v>
      </c>
      <c r="F156" s="86">
        <v>9</v>
      </c>
      <c r="G156" s="152">
        <v>142</v>
      </c>
      <c r="H156" s="153">
        <f t="shared" si="46"/>
        <v>14.082031249469972</v>
      </c>
      <c r="I156" s="153">
        <f t="shared" si="44"/>
        <v>15.202428570079263</v>
      </c>
      <c r="J156" s="104">
        <f t="shared" si="47"/>
        <v>2158.7448569512553</v>
      </c>
      <c r="K156" s="154">
        <f t="shared" si="41"/>
        <v>1999.6484374247361</v>
      </c>
      <c r="L156" s="155">
        <f t="shared" si="52"/>
        <v>159.09641952651918</v>
      </c>
      <c r="M156" s="104">
        <f t="shared" si="48"/>
        <v>11.391536806161206</v>
      </c>
      <c r="N156" s="156">
        <f t="shared" si="49"/>
        <v>170.4879563326804</v>
      </c>
      <c r="O156" s="104">
        <v>0</v>
      </c>
      <c r="P156" s="104">
        <v>0</v>
      </c>
      <c r="Q156" s="104">
        <v>0</v>
      </c>
      <c r="R156" s="156">
        <f t="shared" si="50"/>
        <v>170.4879563326804</v>
      </c>
    </row>
    <row r="157" spans="1:18" x14ac:dyDescent="0.2">
      <c r="A157" s="86">
        <v>6</v>
      </c>
      <c r="B157" s="150">
        <f t="shared" si="45"/>
        <v>45809</v>
      </c>
      <c r="C157" s="166">
        <f t="shared" si="51"/>
        <v>45841</v>
      </c>
      <c r="D157" s="166">
        <f t="shared" si="51"/>
        <v>45862</v>
      </c>
      <c r="E157" s="174" t="s">
        <v>53</v>
      </c>
      <c r="F157" s="86">
        <v>9</v>
      </c>
      <c r="G157" s="152">
        <v>165</v>
      </c>
      <c r="H157" s="153">
        <f t="shared" si="46"/>
        <v>14.082031249469972</v>
      </c>
      <c r="I157" s="153">
        <f t="shared" si="44"/>
        <v>15.202428570079263</v>
      </c>
      <c r="J157" s="104">
        <f t="shared" si="47"/>
        <v>2508.4007140630783</v>
      </c>
      <c r="K157" s="154">
        <f t="shared" si="41"/>
        <v>2323.5351561625453</v>
      </c>
      <c r="L157" s="155">
        <f t="shared" si="52"/>
        <v>184.86555790053308</v>
      </c>
      <c r="M157" s="104">
        <f t="shared" si="48"/>
        <v>13.236644880398583</v>
      </c>
      <c r="N157" s="156">
        <f t="shared" si="49"/>
        <v>198.10220278093166</v>
      </c>
      <c r="O157" s="104">
        <v>0</v>
      </c>
      <c r="P157" s="104">
        <v>0</v>
      </c>
      <c r="Q157" s="104">
        <v>0</v>
      </c>
      <c r="R157" s="156">
        <f t="shared" si="50"/>
        <v>198.10220278093166</v>
      </c>
    </row>
    <row r="158" spans="1:18" x14ac:dyDescent="0.2">
      <c r="A158" s="86">
        <v>7</v>
      </c>
      <c r="B158" s="150">
        <f t="shared" si="45"/>
        <v>45839</v>
      </c>
      <c r="C158" s="166">
        <f t="shared" si="51"/>
        <v>45874</v>
      </c>
      <c r="D158" s="166">
        <f t="shared" si="51"/>
        <v>45894</v>
      </c>
      <c r="E158" s="174" t="s">
        <v>53</v>
      </c>
      <c r="F158" s="86">
        <v>9</v>
      </c>
      <c r="G158" s="152">
        <v>185</v>
      </c>
      <c r="H158" s="153">
        <f t="shared" si="46"/>
        <v>14.082031249469972</v>
      </c>
      <c r="I158" s="153">
        <f t="shared" si="44"/>
        <v>15.202428570079263</v>
      </c>
      <c r="J158" s="104">
        <f t="shared" si="47"/>
        <v>2812.4492854646637</v>
      </c>
      <c r="K158" s="154">
        <f t="shared" si="41"/>
        <v>2605.1757811519451</v>
      </c>
      <c r="L158" s="155">
        <f t="shared" si="52"/>
        <v>207.27350431271861</v>
      </c>
      <c r="M158" s="104">
        <f t="shared" si="48"/>
        <v>14.841086684083258</v>
      </c>
      <c r="N158" s="156">
        <f t="shared" si="49"/>
        <v>222.11459099680187</v>
      </c>
      <c r="O158" s="104">
        <v>0</v>
      </c>
      <c r="P158" s="104">
        <v>0</v>
      </c>
      <c r="Q158" s="104">
        <v>0</v>
      </c>
      <c r="R158" s="156">
        <f t="shared" si="50"/>
        <v>222.11459099680187</v>
      </c>
    </row>
    <row r="159" spans="1:18" x14ac:dyDescent="0.2">
      <c r="A159" s="86">
        <v>8</v>
      </c>
      <c r="B159" s="150">
        <f t="shared" si="45"/>
        <v>45870</v>
      </c>
      <c r="C159" s="166">
        <f t="shared" si="51"/>
        <v>45904</v>
      </c>
      <c r="D159" s="166">
        <f t="shared" si="51"/>
        <v>45924</v>
      </c>
      <c r="E159" s="174" t="s">
        <v>53</v>
      </c>
      <c r="F159" s="86">
        <v>9</v>
      </c>
      <c r="G159" s="152">
        <v>191</v>
      </c>
      <c r="H159" s="153">
        <f t="shared" si="46"/>
        <v>14.082031249469972</v>
      </c>
      <c r="I159" s="153">
        <f t="shared" si="44"/>
        <v>15.202428570079263</v>
      </c>
      <c r="J159" s="104">
        <f t="shared" si="47"/>
        <v>2903.6638568851395</v>
      </c>
      <c r="K159" s="154">
        <f t="shared" si="41"/>
        <v>2689.6679686487646</v>
      </c>
      <c r="L159" s="155">
        <f t="shared" si="52"/>
        <v>213.99588823637487</v>
      </c>
      <c r="M159" s="104">
        <f t="shared" si="48"/>
        <v>15.322419225188662</v>
      </c>
      <c r="N159" s="156">
        <f t="shared" si="49"/>
        <v>229.31830746156353</v>
      </c>
      <c r="O159" s="104">
        <v>0</v>
      </c>
      <c r="P159" s="104">
        <v>0</v>
      </c>
      <c r="Q159" s="104">
        <v>0</v>
      </c>
      <c r="R159" s="156">
        <f t="shared" si="50"/>
        <v>229.31830746156353</v>
      </c>
    </row>
    <row r="160" spans="1:18" x14ac:dyDescent="0.2">
      <c r="A160" s="86">
        <v>9</v>
      </c>
      <c r="B160" s="150">
        <f t="shared" si="45"/>
        <v>45901</v>
      </c>
      <c r="C160" s="166">
        <f t="shared" si="51"/>
        <v>45933</v>
      </c>
      <c r="D160" s="166">
        <f t="shared" si="51"/>
        <v>45954</v>
      </c>
      <c r="E160" s="174" t="s">
        <v>53</v>
      </c>
      <c r="F160" s="86">
        <v>9</v>
      </c>
      <c r="G160" s="152">
        <v>140</v>
      </c>
      <c r="H160" s="153">
        <f t="shared" si="46"/>
        <v>14.082031249469972</v>
      </c>
      <c r="I160" s="153">
        <f t="shared" si="44"/>
        <v>15.202428570079263</v>
      </c>
      <c r="J160" s="104">
        <f t="shared" si="47"/>
        <v>2128.3399998110967</v>
      </c>
      <c r="K160" s="154">
        <f t="shared" si="41"/>
        <v>1971.4843749257961</v>
      </c>
      <c r="L160" s="155">
        <f t="shared" si="52"/>
        <v>156.85562488530059</v>
      </c>
      <c r="M160" s="104">
        <f t="shared" si="48"/>
        <v>11.231092625792737</v>
      </c>
      <c r="N160" s="156">
        <f t="shared" si="49"/>
        <v>168.08671751109333</v>
      </c>
      <c r="O160" s="104">
        <v>0</v>
      </c>
      <c r="P160" s="104">
        <v>0</v>
      </c>
      <c r="Q160" s="104">
        <v>0</v>
      </c>
      <c r="R160" s="156">
        <f t="shared" si="50"/>
        <v>168.08671751109333</v>
      </c>
    </row>
    <row r="161" spans="1:18" x14ac:dyDescent="0.2">
      <c r="A161" s="86">
        <v>10</v>
      </c>
      <c r="B161" s="150">
        <f t="shared" si="45"/>
        <v>45931</v>
      </c>
      <c r="C161" s="166">
        <f t="shared" si="51"/>
        <v>45966</v>
      </c>
      <c r="D161" s="166">
        <f t="shared" si="51"/>
        <v>45985</v>
      </c>
      <c r="E161" s="174" t="s">
        <v>53</v>
      </c>
      <c r="F161" s="86">
        <v>9</v>
      </c>
      <c r="G161" s="152">
        <v>137</v>
      </c>
      <c r="H161" s="153">
        <f t="shared" si="46"/>
        <v>14.082031249469972</v>
      </c>
      <c r="I161" s="153">
        <f t="shared" si="44"/>
        <v>15.202428570079263</v>
      </c>
      <c r="J161" s="104">
        <f t="shared" si="47"/>
        <v>2082.7327141008591</v>
      </c>
      <c r="K161" s="154">
        <f t="shared" si="41"/>
        <v>1929.2382811773862</v>
      </c>
      <c r="L161" s="155">
        <f t="shared" si="52"/>
        <v>153.49443292347291</v>
      </c>
      <c r="M161" s="104">
        <f t="shared" si="48"/>
        <v>10.990426355240034</v>
      </c>
      <c r="N161" s="156">
        <f t="shared" si="49"/>
        <v>164.48485927871295</v>
      </c>
      <c r="O161" s="104">
        <v>0</v>
      </c>
      <c r="P161" s="104">
        <v>0</v>
      </c>
      <c r="Q161" s="104">
        <v>0</v>
      </c>
      <c r="R161" s="156">
        <f t="shared" si="50"/>
        <v>164.48485927871295</v>
      </c>
    </row>
    <row r="162" spans="1:18" x14ac:dyDescent="0.2">
      <c r="A162" s="86">
        <v>11</v>
      </c>
      <c r="B162" s="150">
        <f t="shared" si="45"/>
        <v>45962</v>
      </c>
      <c r="C162" s="166">
        <f t="shared" si="51"/>
        <v>45994</v>
      </c>
      <c r="D162" s="166">
        <f t="shared" si="51"/>
        <v>46015</v>
      </c>
      <c r="E162" s="174" t="s">
        <v>53</v>
      </c>
      <c r="F162" s="86">
        <v>9</v>
      </c>
      <c r="G162" s="152">
        <v>120</v>
      </c>
      <c r="H162" s="153">
        <f t="shared" si="46"/>
        <v>14.082031249469972</v>
      </c>
      <c r="I162" s="153">
        <f t="shared" si="44"/>
        <v>15.202428570079263</v>
      </c>
      <c r="J162" s="104">
        <f t="shared" si="47"/>
        <v>1824.2914284095116</v>
      </c>
      <c r="K162" s="154">
        <f t="shared" si="41"/>
        <v>1689.8437499363968</v>
      </c>
      <c r="L162" s="155">
        <f t="shared" si="52"/>
        <v>134.44767847311482</v>
      </c>
      <c r="M162" s="104">
        <f t="shared" si="48"/>
        <v>9.6266508221080596</v>
      </c>
      <c r="N162" s="156">
        <f t="shared" si="49"/>
        <v>144.07432929522287</v>
      </c>
      <c r="O162" s="104">
        <v>0</v>
      </c>
      <c r="P162" s="104">
        <v>0</v>
      </c>
      <c r="Q162" s="104">
        <v>0</v>
      </c>
      <c r="R162" s="156">
        <f t="shared" si="50"/>
        <v>144.07432929522287</v>
      </c>
    </row>
    <row r="163" spans="1:18" s="170" customFormat="1" x14ac:dyDescent="0.2">
      <c r="A163" s="86">
        <v>12</v>
      </c>
      <c r="B163" s="168">
        <f t="shared" si="45"/>
        <v>45992</v>
      </c>
      <c r="C163" s="166">
        <f t="shared" si="51"/>
        <v>46028</v>
      </c>
      <c r="D163" s="166">
        <f t="shared" si="51"/>
        <v>46048</v>
      </c>
      <c r="E163" s="175" t="s">
        <v>53</v>
      </c>
      <c r="F163" s="127">
        <v>9</v>
      </c>
      <c r="G163" s="190">
        <v>128</v>
      </c>
      <c r="H163" s="158">
        <f t="shared" si="46"/>
        <v>14.082031249469972</v>
      </c>
      <c r="I163" s="158">
        <f t="shared" si="44"/>
        <v>15.202428570079263</v>
      </c>
      <c r="J163" s="159">
        <f t="shared" si="47"/>
        <v>1945.9108569701457</v>
      </c>
      <c r="K163" s="160">
        <f t="shared" si="41"/>
        <v>1802.4999999321565</v>
      </c>
      <c r="L163" s="161">
        <f t="shared" si="52"/>
        <v>143.41085703798922</v>
      </c>
      <c r="M163" s="159">
        <f t="shared" si="48"/>
        <v>10.268427543581931</v>
      </c>
      <c r="N163" s="191">
        <f t="shared" si="49"/>
        <v>153.67928458157115</v>
      </c>
      <c r="O163" s="159">
        <v>0</v>
      </c>
      <c r="P163" s="159">
        <v>0</v>
      </c>
      <c r="Q163" s="159">
        <v>0</v>
      </c>
      <c r="R163" s="191">
        <f t="shared" si="50"/>
        <v>153.67928458157115</v>
      </c>
    </row>
    <row r="164" spans="1:18" x14ac:dyDescent="0.2">
      <c r="A164" s="86">
        <v>1</v>
      </c>
      <c r="B164" s="150">
        <f t="shared" si="45"/>
        <v>45658</v>
      </c>
      <c r="C164" s="163">
        <f t="shared" si="51"/>
        <v>45693</v>
      </c>
      <c r="D164" s="163">
        <f t="shared" si="51"/>
        <v>45712</v>
      </c>
      <c r="E164" s="173" t="s">
        <v>54</v>
      </c>
      <c r="F164" s="86">
        <v>9</v>
      </c>
      <c r="G164" s="152">
        <v>11</v>
      </c>
      <c r="H164" s="153">
        <f t="shared" si="46"/>
        <v>14.082031249469972</v>
      </c>
      <c r="I164" s="153">
        <f t="shared" si="44"/>
        <v>15.202428570079263</v>
      </c>
      <c r="J164" s="104">
        <f t="shared" si="47"/>
        <v>167.22671427087189</v>
      </c>
      <c r="K164" s="154">
        <f t="shared" si="41"/>
        <v>154.90234374416968</v>
      </c>
      <c r="L164" s="155">
        <f t="shared" si="52"/>
        <v>12.324370526702211</v>
      </c>
      <c r="M164" s="104">
        <f t="shared" si="48"/>
        <v>0.88244299202657228</v>
      </c>
      <c r="N164" s="156">
        <f t="shared" si="49"/>
        <v>13.206813518728783</v>
      </c>
      <c r="O164" s="104">
        <v>0</v>
      </c>
      <c r="P164" s="104">
        <v>0</v>
      </c>
      <c r="Q164" s="104">
        <v>0</v>
      </c>
      <c r="R164" s="156">
        <f t="shared" si="50"/>
        <v>13.206813518728783</v>
      </c>
    </row>
    <row r="165" spans="1:18" x14ac:dyDescent="0.2">
      <c r="A165" s="86">
        <v>2</v>
      </c>
      <c r="B165" s="150">
        <f t="shared" si="45"/>
        <v>45689</v>
      </c>
      <c r="C165" s="166">
        <f t="shared" si="51"/>
        <v>45721</v>
      </c>
      <c r="D165" s="166">
        <f t="shared" si="51"/>
        <v>45740</v>
      </c>
      <c r="E165" s="174" t="s">
        <v>54</v>
      </c>
      <c r="F165" s="86">
        <v>9</v>
      </c>
      <c r="G165" s="152">
        <v>9</v>
      </c>
      <c r="H165" s="153">
        <f t="shared" si="46"/>
        <v>14.082031249469972</v>
      </c>
      <c r="I165" s="153">
        <f t="shared" si="44"/>
        <v>15.202428570079263</v>
      </c>
      <c r="J165" s="104">
        <f t="shared" si="47"/>
        <v>136.82185713071337</v>
      </c>
      <c r="K165" s="154">
        <f t="shared" si="41"/>
        <v>126.73828124522976</v>
      </c>
      <c r="L165" s="155">
        <f t="shared" si="52"/>
        <v>10.083575885483612</v>
      </c>
      <c r="M165" s="104">
        <f t="shared" si="48"/>
        <v>0.72199881165810442</v>
      </c>
      <c r="N165" s="156">
        <f t="shared" si="49"/>
        <v>10.805574697141715</v>
      </c>
      <c r="O165" s="104">
        <v>0</v>
      </c>
      <c r="P165" s="104">
        <v>0</v>
      </c>
      <c r="Q165" s="104">
        <v>0</v>
      </c>
      <c r="R165" s="156">
        <f t="shared" si="50"/>
        <v>10.805574697141715</v>
      </c>
    </row>
    <row r="166" spans="1:18" x14ac:dyDescent="0.2">
      <c r="A166" s="86">
        <v>3</v>
      </c>
      <c r="B166" s="150">
        <f t="shared" si="45"/>
        <v>45717</v>
      </c>
      <c r="C166" s="166">
        <f t="shared" si="51"/>
        <v>45750</v>
      </c>
      <c r="D166" s="166">
        <f t="shared" si="51"/>
        <v>45771</v>
      </c>
      <c r="E166" s="174" t="s">
        <v>54</v>
      </c>
      <c r="F166" s="86">
        <v>9</v>
      </c>
      <c r="G166" s="152">
        <v>8</v>
      </c>
      <c r="H166" s="153">
        <f t="shared" si="46"/>
        <v>14.082031249469972</v>
      </c>
      <c r="I166" s="153">
        <f t="shared" si="44"/>
        <v>15.202428570079263</v>
      </c>
      <c r="J166" s="104">
        <f t="shared" si="47"/>
        <v>121.61942856063411</v>
      </c>
      <c r="K166" s="154">
        <f t="shared" si="41"/>
        <v>112.65624999575978</v>
      </c>
      <c r="L166" s="155">
        <f>+J166-K166</f>
        <v>8.9631785648743261</v>
      </c>
      <c r="M166" s="104">
        <f t="shared" si="48"/>
        <v>0.64177672147387066</v>
      </c>
      <c r="N166" s="156">
        <f t="shared" si="49"/>
        <v>9.6049552863481971</v>
      </c>
      <c r="O166" s="104">
        <v>0</v>
      </c>
      <c r="P166" s="104">
        <v>0</v>
      </c>
      <c r="Q166" s="104">
        <v>0</v>
      </c>
      <c r="R166" s="156">
        <f t="shared" si="50"/>
        <v>9.6049552863481971</v>
      </c>
    </row>
    <row r="167" spans="1:18" x14ac:dyDescent="0.2">
      <c r="A167" s="86">
        <v>4</v>
      </c>
      <c r="B167" s="150">
        <f t="shared" si="45"/>
        <v>45748</v>
      </c>
      <c r="C167" s="166">
        <f t="shared" si="51"/>
        <v>45782</v>
      </c>
      <c r="D167" s="166">
        <f t="shared" si="51"/>
        <v>45803</v>
      </c>
      <c r="E167" s="174" t="s">
        <v>54</v>
      </c>
      <c r="F167" s="86">
        <v>9</v>
      </c>
      <c r="G167" s="152">
        <v>10</v>
      </c>
      <c r="H167" s="153">
        <f t="shared" si="46"/>
        <v>14.082031249469972</v>
      </c>
      <c r="I167" s="153">
        <f t="shared" si="44"/>
        <v>15.202428570079263</v>
      </c>
      <c r="J167" s="104">
        <f t="shared" si="47"/>
        <v>152.02428570079263</v>
      </c>
      <c r="K167" s="154">
        <f t="shared" si="41"/>
        <v>140.82031249469972</v>
      </c>
      <c r="L167" s="155">
        <f t="shared" ref="L167:L177" si="53">+J167-K167</f>
        <v>11.203973206092911</v>
      </c>
      <c r="M167" s="104">
        <f t="shared" si="48"/>
        <v>0.8022209018423383</v>
      </c>
      <c r="N167" s="156">
        <f t="shared" si="49"/>
        <v>12.006194107935249</v>
      </c>
      <c r="O167" s="104">
        <v>0</v>
      </c>
      <c r="P167" s="104">
        <v>0</v>
      </c>
      <c r="Q167" s="104">
        <v>0</v>
      </c>
      <c r="R167" s="156">
        <f t="shared" si="50"/>
        <v>12.006194107935249</v>
      </c>
    </row>
    <row r="168" spans="1:18" x14ac:dyDescent="0.2">
      <c r="A168" s="86">
        <v>5</v>
      </c>
      <c r="B168" s="150">
        <f t="shared" si="45"/>
        <v>45778</v>
      </c>
      <c r="C168" s="166">
        <f t="shared" si="51"/>
        <v>45812</v>
      </c>
      <c r="D168" s="166">
        <f t="shared" si="51"/>
        <v>45832</v>
      </c>
      <c r="E168" s="174" t="s">
        <v>54</v>
      </c>
      <c r="F168" s="86">
        <v>9</v>
      </c>
      <c r="G168" s="152">
        <v>11</v>
      </c>
      <c r="H168" s="153">
        <f t="shared" si="46"/>
        <v>14.082031249469972</v>
      </c>
      <c r="I168" s="153">
        <f t="shared" si="44"/>
        <v>15.202428570079263</v>
      </c>
      <c r="J168" s="104">
        <f t="shared" si="47"/>
        <v>167.22671427087189</v>
      </c>
      <c r="K168" s="154">
        <f t="shared" si="41"/>
        <v>154.90234374416968</v>
      </c>
      <c r="L168" s="155">
        <f t="shared" si="53"/>
        <v>12.324370526702211</v>
      </c>
      <c r="M168" s="104">
        <f t="shared" si="48"/>
        <v>0.88244299202657228</v>
      </c>
      <c r="N168" s="156">
        <f t="shared" si="49"/>
        <v>13.206813518728783</v>
      </c>
      <c r="O168" s="104">
        <v>0</v>
      </c>
      <c r="P168" s="104">
        <v>0</v>
      </c>
      <c r="Q168" s="104">
        <v>0</v>
      </c>
      <c r="R168" s="156">
        <f t="shared" si="50"/>
        <v>13.206813518728783</v>
      </c>
    </row>
    <row r="169" spans="1:18" x14ac:dyDescent="0.2">
      <c r="A169" s="86">
        <v>6</v>
      </c>
      <c r="B169" s="150">
        <f t="shared" si="45"/>
        <v>45809</v>
      </c>
      <c r="C169" s="166">
        <f t="shared" si="51"/>
        <v>45841</v>
      </c>
      <c r="D169" s="166">
        <f t="shared" si="51"/>
        <v>45862</v>
      </c>
      <c r="E169" s="174" t="s">
        <v>54</v>
      </c>
      <c r="F169" s="86">
        <v>9</v>
      </c>
      <c r="G169" s="152">
        <v>11</v>
      </c>
      <c r="H169" s="153">
        <f t="shared" si="46"/>
        <v>14.082031249469972</v>
      </c>
      <c r="I169" s="153">
        <f t="shared" si="44"/>
        <v>15.202428570079263</v>
      </c>
      <c r="J169" s="104">
        <f t="shared" si="47"/>
        <v>167.22671427087189</v>
      </c>
      <c r="K169" s="154">
        <f t="shared" si="41"/>
        <v>154.90234374416968</v>
      </c>
      <c r="L169" s="155">
        <f t="shared" si="53"/>
        <v>12.324370526702211</v>
      </c>
      <c r="M169" s="104">
        <f t="shared" si="48"/>
        <v>0.88244299202657228</v>
      </c>
      <c r="N169" s="156">
        <f t="shared" si="49"/>
        <v>13.206813518728783</v>
      </c>
      <c r="O169" s="104">
        <v>0</v>
      </c>
      <c r="P169" s="104">
        <v>0</v>
      </c>
      <c r="Q169" s="104">
        <v>0</v>
      </c>
      <c r="R169" s="156">
        <f t="shared" si="50"/>
        <v>13.206813518728783</v>
      </c>
    </row>
    <row r="170" spans="1:18" x14ac:dyDescent="0.2">
      <c r="A170" s="86">
        <v>7</v>
      </c>
      <c r="B170" s="150">
        <f t="shared" si="45"/>
        <v>45839</v>
      </c>
      <c r="C170" s="166">
        <f t="shared" si="51"/>
        <v>45874</v>
      </c>
      <c r="D170" s="166">
        <f t="shared" si="51"/>
        <v>45894</v>
      </c>
      <c r="E170" s="174" t="s">
        <v>54</v>
      </c>
      <c r="F170" s="86">
        <v>9</v>
      </c>
      <c r="G170" s="152">
        <v>14</v>
      </c>
      <c r="H170" s="153">
        <f t="shared" si="46"/>
        <v>14.082031249469972</v>
      </c>
      <c r="I170" s="153">
        <f t="shared" si="44"/>
        <v>15.202428570079263</v>
      </c>
      <c r="J170" s="104">
        <f t="shared" si="47"/>
        <v>212.83399998110968</v>
      </c>
      <c r="K170" s="154">
        <f t="shared" si="41"/>
        <v>197.1484374925796</v>
      </c>
      <c r="L170" s="155">
        <f t="shared" si="53"/>
        <v>15.685562488530081</v>
      </c>
      <c r="M170" s="104">
        <f t="shared" si="48"/>
        <v>1.1231092625792736</v>
      </c>
      <c r="N170" s="156">
        <f t="shared" si="49"/>
        <v>16.808671751109355</v>
      </c>
      <c r="O170" s="104">
        <v>0</v>
      </c>
      <c r="P170" s="104">
        <v>0</v>
      </c>
      <c r="Q170" s="104">
        <v>0</v>
      </c>
      <c r="R170" s="156">
        <f t="shared" si="50"/>
        <v>16.808671751109355</v>
      </c>
    </row>
    <row r="171" spans="1:18" x14ac:dyDescent="0.2">
      <c r="A171" s="86">
        <v>8</v>
      </c>
      <c r="B171" s="150">
        <f t="shared" si="45"/>
        <v>45870</v>
      </c>
      <c r="C171" s="166">
        <f t="shared" si="51"/>
        <v>45904</v>
      </c>
      <c r="D171" s="166">
        <f t="shared" si="51"/>
        <v>45924</v>
      </c>
      <c r="E171" s="174" t="s">
        <v>54</v>
      </c>
      <c r="F171" s="86">
        <v>9</v>
      </c>
      <c r="G171" s="152">
        <v>11</v>
      </c>
      <c r="H171" s="153">
        <f t="shared" si="46"/>
        <v>14.082031249469972</v>
      </c>
      <c r="I171" s="153">
        <f t="shared" si="44"/>
        <v>15.202428570079263</v>
      </c>
      <c r="J171" s="104">
        <f t="shared" si="47"/>
        <v>167.22671427087189</v>
      </c>
      <c r="K171" s="154">
        <f t="shared" si="41"/>
        <v>154.90234374416968</v>
      </c>
      <c r="L171" s="155">
        <f t="shared" si="53"/>
        <v>12.324370526702211</v>
      </c>
      <c r="M171" s="104">
        <f t="shared" si="48"/>
        <v>0.88244299202657228</v>
      </c>
      <c r="N171" s="156">
        <f t="shared" si="49"/>
        <v>13.206813518728783</v>
      </c>
      <c r="O171" s="104">
        <v>0</v>
      </c>
      <c r="P171" s="104">
        <v>0</v>
      </c>
      <c r="Q171" s="104">
        <v>0</v>
      </c>
      <c r="R171" s="156">
        <f t="shared" si="50"/>
        <v>13.206813518728783</v>
      </c>
    </row>
    <row r="172" spans="1:18" x14ac:dyDescent="0.2">
      <c r="A172" s="86">
        <v>9</v>
      </c>
      <c r="B172" s="150">
        <f t="shared" si="45"/>
        <v>45901</v>
      </c>
      <c r="C172" s="166">
        <f t="shared" ref="C172:D175" si="54">+C160</f>
        <v>45933</v>
      </c>
      <c r="D172" s="166">
        <f t="shared" si="54"/>
        <v>45954</v>
      </c>
      <c r="E172" s="174" t="s">
        <v>54</v>
      </c>
      <c r="F172" s="86">
        <v>9</v>
      </c>
      <c r="G172" s="152">
        <v>12</v>
      </c>
      <c r="H172" s="153">
        <f t="shared" si="46"/>
        <v>14.082031249469972</v>
      </c>
      <c r="I172" s="153">
        <f t="shared" si="44"/>
        <v>15.202428570079263</v>
      </c>
      <c r="J172" s="104">
        <f t="shared" si="47"/>
        <v>182.42914284095116</v>
      </c>
      <c r="K172" s="154">
        <f t="shared" si="41"/>
        <v>168.98437499363968</v>
      </c>
      <c r="L172" s="155">
        <f t="shared" si="53"/>
        <v>13.444767847311482</v>
      </c>
      <c r="M172" s="104">
        <f t="shared" si="48"/>
        <v>0.96266508221080604</v>
      </c>
      <c r="N172" s="156">
        <f t="shared" si="49"/>
        <v>14.407432929522288</v>
      </c>
      <c r="O172" s="104">
        <v>0</v>
      </c>
      <c r="P172" s="104">
        <v>0</v>
      </c>
      <c r="Q172" s="104">
        <v>0</v>
      </c>
      <c r="R172" s="156">
        <f t="shared" si="50"/>
        <v>14.407432929522288</v>
      </c>
    </row>
    <row r="173" spans="1:18" x14ac:dyDescent="0.2">
      <c r="A173" s="86">
        <v>10</v>
      </c>
      <c r="B173" s="150">
        <f t="shared" si="45"/>
        <v>45931</v>
      </c>
      <c r="C173" s="166">
        <f t="shared" si="54"/>
        <v>45966</v>
      </c>
      <c r="D173" s="166">
        <f t="shared" si="54"/>
        <v>45985</v>
      </c>
      <c r="E173" s="174" t="s">
        <v>54</v>
      </c>
      <c r="F173" s="86">
        <v>9</v>
      </c>
      <c r="G173" s="152">
        <v>13</v>
      </c>
      <c r="H173" s="153">
        <f t="shared" si="46"/>
        <v>14.082031249469972</v>
      </c>
      <c r="I173" s="153">
        <f t="shared" si="44"/>
        <v>15.202428570079263</v>
      </c>
      <c r="J173" s="104">
        <f t="shared" si="47"/>
        <v>197.63157141103042</v>
      </c>
      <c r="K173" s="154">
        <f t="shared" si="41"/>
        <v>183.06640624310964</v>
      </c>
      <c r="L173" s="155">
        <f t="shared" si="53"/>
        <v>14.565165167920782</v>
      </c>
      <c r="M173" s="104">
        <f t="shared" si="48"/>
        <v>1.0428871723950397</v>
      </c>
      <c r="N173" s="156">
        <f t="shared" si="49"/>
        <v>15.608052340315821</v>
      </c>
      <c r="O173" s="104">
        <v>0</v>
      </c>
      <c r="P173" s="104">
        <v>0</v>
      </c>
      <c r="Q173" s="104">
        <v>0</v>
      </c>
      <c r="R173" s="156">
        <f t="shared" si="50"/>
        <v>15.608052340315821</v>
      </c>
    </row>
    <row r="174" spans="1:18" x14ac:dyDescent="0.2">
      <c r="A174" s="86">
        <v>11</v>
      </c>
      <c r="B174" s="150">
        <f t="shared" si="45"/>
        <v>45962</v>
      </c>
      <c r="C174" s="166">
        <f t="shared" si="54"/>
        <v>45994</v>
      </c>
      <c r="D174" s="166">
        <f t="shared" si="54"/>
        <v>46015</v>
      </c>
      <c r="E174" s="174" t="s">
        <v>54</v>
      </c>
      <c r="F174" s="86">
        <v>9</v>
      </c>
      <c r="G174" s="152">
        <v>10</v>
      </c>
      <c r="H174" s="153">
        <f t="shared" si="46"/>
        <v>14.082031249469972</v>
      </c>
      <c r="I174" s="153">
        <f t="shared" si="44"/>
        <v>15.202428570079263</v>
      </c>
      <c r="J174" s="104">
        <f t="shared" si="47"/>
        <v>152.02428570079263</v>
      </c>
      <c r="K174" s="154">
        <f t="shared" si="41"/>
        <v>140.82031249469972</v>
      </c>
      <c r="L174" s="155">
        <f t="shared" si="53"/>
        <v>11.203973206092911</v>
      </c>
      <c r="M174" s="104">
        <f t="shared" si="48"/>
        <v>0.8022209018423383</v>
      </c>
      <c r="N174" s="156">
        <f t="shared" si="49"/>
        <v>12.006194107935249</v>
      </c>
      <c r="O174" s="104">
        <v>0</v>
      </c>
      <c r="P174" s="104">
        <v>0</v>
      </c>
      <c r="Q174" s="104">
        <v>0</v>
      </c>
      <c r="R174" s="156">
        <f t="shared" si="50"/>
        <v>12.006194107935249</v>
      </c>
    </row>
    <row r="175" spans="1:18" s="170" customFormat="1" x14ac:dyDescent="0.2">
      <c r="A175" s="86">
        <v>12</v>
      </c>
      <c r="B175" s="168">
        <f t="shared" si="45"/>
        <v>45992</v>
      </c>
      <c r="C175" s="166">
        <f t="shared" si="54"/>
        <v>46028</v>
      </c>
      <c r="D175" s="166">
        <f t="shared" si="54"/>
        <v>46048</v>
      </c>
      <c r="E175" s="175" t="s">
        <v>54</v>
      </c>
      <c r="F175" s="127">
        <v>9</v>
      </c>
      <c r="G175" s="190">
        <v>7</v>
      </c>
      <c r="H175" s="158">
        <f t="shared" si="46"/>
        <v>14.082031249469972</v>
      </c>
      <c r="I175" s="158">
        <f t="shared" si="44"/>
        <v>15.202428570079263</v>
      </c>
      <c r="J175" s="159">
        <f t="shared" si="47"/>
        <v>106.41699999055484</v>
      </c>
      <c r="K175" s="160">
        <f t="shared" si="41"/>
        <v>98.574218746289802</v>
      </c>
      <c r="L175" s="161">
        <f t="shared" si="53"/>
        <v>7.8427812442650406</v>
      </c>
      <c r="M175" s="159">
        <f t="shared" si="48"/>
        <v>0.56155463128963679</v>
      </c>
      <c r="N175" s="191">
        <f t="shared" si="49"/>
        <v>8.4043358755546773</v>
      </c>
      <c r="O175" s="159">
        <v>0</v>
      </c>
      <c r="P175" s="159">
        <v>0</v>
      </c>
      <c r="Q175" s="159">
        <v>0</v>
      </c>
      <c r="R175" s="191">
        <f t="shared" si="50"/>
        <v>8.4043358755546773</v>
      </c>
    </row>
    <row r="176" spans="1:18" x14ac:dyDescent="0.2">
      <c r="A176" s="86">
        <v>1</v>
      </c>
      <c r="B176" s="150">
        <f t="shared" si="45"/>
        <v>45658</v>
      </c>
      <c r="C176" s="163">
        <f t="shared" ref="C176:D187" si="55">+C152</f>
        <v>45693</v>
      </c>
      <c r="D176" s="163">
        <f t="shared" si="55"/>
        <v>45712</v>
      </c>
      <c r="E176" s="173" t="s">
        <v>55</v>
      </c>
      <c r="F176" s="86">
        <v>9</v>
      </c>
      <c r="G176" s="152">
        <v>0</v>
      </c>
      <c r="H176" s="153">
        <f t="shared" si="46"/>
        <v>14.082031249469972</v>
      </c>
      <c r="I176" s="153">
        <f t="shared" si="44"/>
        <v>15.202428570079263</v>
      </c>
      <c r="J176" s="104">
        <f t="shared" si="47"/>
        <v>0</v>
      </c>
      <c r="K176" s="154">
        <f t="shared" si="41"/>
        <v>0</v>
      </c>
      <c r="L176" s="155">
        <f t="shared" si="53"/>
        <v>0</v>
      </c>
      <c r="M176" s="104">
        <f t="shared" si="48"/>
        <v>0</v>
      </c>
      <c r="N176" s="156">
        <f t="shared" si="49"/>
        <v>0</v>
      </c>
      <c r="O176" s="104">
        <v>0</v>
      </c>
      <c r="P176" s="104">
        <v>0</v>
      </c>
      <c r="Q176" s="104">
        <v>0</v>
      </c>
      <c r="R176" s="156">
        <f t="shared" si="50"/>
        <v>0</v>
      </c>
    </row>
    <row r="177" spans="1:18" x14ac:dyDescent="0.2">
      <c r="A177" s="86">
        <v>2</v>
      </c>
      <c r="B177" s="150">
        <f t="shared" si="45"/>
        <v>45689</v>
      </c>
      <c r="C177" s="166">
        <f t="shared" si="55"/>
        <v>45721</v>
      </c>
      <c r="D177" s="166">
        <f t="shared" si="55"/>
        <v>45740</v>
      </c>
      <c r="E177" s="1" t="s">
        <v>55</v>
      </c>
      <c r="F177" s="86">
        <v>9</v>
      </c>
      <c r="G177" s="152">
        <v>0</v>
      </c>
      <c r="H177" s="153">
        <f t="shared" si="46"/>
        <v>14.082031249469972</v>
      </c>
      <c r="I177" s="153">
        <f t="shared" si="44"/>
        <v>15.202428570079263</v>
      </c>
      <c r="J177" s="104">
        <f t="shared" si="47"/>
        <v>0</v>
      </c>
      <c r="K177" s="154">
        <f t="shared" si="41"/>
        <v>0</v>
      </c>
      <c r="L177" s="155">
        <f t="shared" si="53"/>
        <v>0</v>
      </c>
      <c r="M177" s="104">
        <f t="shared" si="48"/>
        <v>0</v>
      </c>
      <c r="N177" s="156">
        <f t="shared" si="49"/>
        <v>0</v>
      </c>
      <c r="O177" s="104">
        <v>0</v>
      </c>
      <c r="P177" s="104">
        <v>0</v>
      </c>
      <c r="Q177" s="104">
        <v>0</v>
      </c>
      <c r="R177" s="156">
        <f t="shared" si="50"/>
        <v>0</v>
      </c>
    </row>
    <row r="178" spans="1:18" x14ac:dyDescent="0.2">
      <c r="A178" s="86">
        <v>3</v>
      </c>
      <c r="B178" s="150">
        <f t="shared" si="45"/>
        <v>45717</v>
      </c>
      <c r="C178" s="166">
        <f t="shared" si="55"/>
        <v>45750</v>
      </c>
      <c r="D178" s="166">
        <f t="shared" si="55"/>
        <v>45771</v>
      </c>
      <c r="E178" s="1" t="s">
        <v>55</v>
      </c>
      <c r="F178" s="86">
        <v>9</v>
      </c>
      <c r="G178" s="152">
        <v>0</v>
      </c>
      <c r="H178" s="153">
        <f t="shared" si="46"/>
        <v>14.082031249469972</v>
      </c>
      <c r="I178" s="153">
        <f t="shared" si="44"/>
        <v>15.202428570079263</v>
      </c>
      <c r="J178" s="104">
        <f t="shared" si="47"/>
        <v>0</v>
      </c>
      <c r="K178" s="154">
        <f t="shared" si="41"/>
        <v>0</v>
      </c>
      <c r="L178" s="155">
        <f>+J178-K178</f>
        <v>0</v>
      </c>
      <c r="M178" s="104">
        <f t="shared" si="48"/>
        <v>0</v>
      </c>
      <c r="N178" s="156">
        <f t="shared" si="49"/>
        <v>0</v>
      </c>
      <c r="O178" s="104">
        <v>0</v>
      </c>
      <c r="P178" s="104">
        <v>0</v>
      </c>
      <c r="Q178" s="104">
        <v>0</v>
      </c>
      <c r="R178" s="156">
        <f t="shared" si="50"/>
        <v>0</v>
      </c>
    </row>
    <row r="179" spans="1:18" x14ac:dyDescent="0.2">
      <c r="A179" s="86">
        <v>4</v>
      </c>
      <c r="B179" s="150">
        <f t="shared" si="45"/>
        <v>45748</v>
      </c>
      <c r="C179" s="166">
        <f t="shared" si="55"/>
        <v>45782</v>
      </c>
      <c r="D179" s="166">
        <f t="shared" si="55"/>
        <v>45803</v>
      </c>
      <c r="E179" s="1" t="s">
        <v>55</v>
      </c>
      <c r="F179" s="86">
        <v>9</v>
      </c>
      <c r="G179" s="152">
        <v>0</v>
      </c>
      <c r="H179" s="153">
        <f t="shared" si="46"/>
        <v>14.082031249469972</v>
      </c>
      <c r="I179" s="153">
        <f t="shared" si="44"/>
        <v>15.202428570079263</v>
      </c>
      <c r="J179" s="104">
        <f t="shared" si="47"/>
        <v>0</v>
      </c>
      <c r="K179" s="154">
        <f t="shared" si="41"/>
        <v>0</v>
      </c>
      <c r="L179" s="155">
        <f t="shared" ref="L179:L189" si="56">+J179-K179</f>
        <v>0</v>
      </c>
      <c r="M179" s="104">
        <f t="shared" si="48"/>
        <v>0</v>
      </c>
      <c r="N179" s="156">
        <f t="shared" si="49"/>
        <v>0</v>
      </c>
      <c r="O179" s="104">
        <v>0</v>
      </c>
      <c r="P179" s="104">
        <v>0</v>
      </c>
      <c r="Q179" s="104">
        <v>0</v>
      </c>
      <c r="R179" s="156">
        <f t="shared" si="50"/>
        <v>0</v>
      </c>
    </row>
    <row r="180" spans="1:18" x14ac:dyDescent="0.2">
      <c r="A180" s="86">
        <v>5</v>
      </c>
      <c r="B180" s="150">
        <f t="shared" si="45"/>
        <v>45778</v>
      </c>
      <c r="C180" s="166">
        <f t="shared" si="55"/>
        <v>45812</v>
      </c>
      <c r="D180" s="166">
        <f t="shared" si="55"/>
        <v>45832</v>
      </c>
      <c r="E180" s="1" t="s">
        <v>55</v>
      </c>
      <c r="F180" s="86">
        <v>9</v>
      </c>
      <c r="G180" s="152">
        <v>0</v>
      </c>
      <c r="H180" s="153">
        <f t="shared" si="46"/>
        <v>14.082031249469972</v>
      </c>
      <c r="I180" s="153">
        <f t="shared" ref="I180:I211" si="57">$J$3</f>
        <v>15.202428570079263</v>
      </c>
      <c r="J180" s="104">
        <f t="shared" si="47"/>
        <v>0</v>
      </c>
      <c r="K180" s="154">
        <f t="shared" si="41"/>
        <v>0</v>
      </c>
      <c r="L180" s="155">
        <f t="shared" si="56"/>
        <v>0</v>
      </c>
      <c r="M180" s="104">
        <f t="shared" si="48"/>
        <v>0</v>
      </c>
      <c r="N180" s="156">
        <f t="shared" si="49"/>
        <v>0</v>
      </c>
      <c r="O180" s="104">
        <v>0</v>
      </c>
      <c r="P180" s="104">
        <v>0</v>
      </c>
      <c r="Q180" s="104">
        <v>0</v>
      </c>
      <c r="R180" s="156">
        <f t="shared" si="50"/>
        <v>0</v>
      </c>
    </row>
    <row r="181" spans="1:18" x14ac:dyDescent="0.2">
      <c r="A181" s="86">
        <v>6</v>
      </c>
      <c r="B181" s="150">
        <f t="shared" si="45"/>
        <v>45809</v>
      </c>
      <c r="C181" s="166">
        <f t="shared" si="55"/>
        <v>45841</v>
      </c>
      <c r="D181" s="166">
        <f t="shared" si="55"/>
        <v>45862</v>
      </c>
      <c r="E181" s="1" t="s">
        <v>55</v>
      </c>
      <c r="F181" s="86">
        <v>9</v>
      </c>
      <c r="G181" s="152">
        <v>0</v>
      </c>
      <c r="H181" s="153">
        <f t="shared" si="46"/>
        <v>14.082031249469972</v>
      </c>
      <c r="I181" s="153">
        <f t="shared" si="57"/>
        <v>15.202428570079263</v>
      </c>
      <c r="J181" s="104">
        <f t="shared" si="47"/>
        <v>0</v>
      </c>
      <c r="K181" s="154">
        <f t="shared" si="41"/>
        <v>0</v>
      </c>
      <c r="L181" s="155">
        <f t="shared" si="56"/>
        <v>0</v>
      </c>
      <c r="M181" s="104">
        <f t="shared" si="48"/>
        <v>0</v>
      </c>
      <c r="N181" s="156">
        <f t="shared" si="49"/>
        <v>0</v>
      </c>
      <c r="O181" s="104">
        <v>0</v>
      </c>
      <c r="P181" s="104">
        <v>0</v>
      </c>
      <c r="Q181" s="104">
        <v>0</v>
      </c>
      <c r="R181" s="156">
        <f t="shared" si="50"/>
        <v>0</v>
      </c>
    </row>
    <row r="182" spans="1:18" x14ac:dyDescent="0.2">
      <c r="A182" s="86">
        <v>7</v>
      </c>
      <c r="B182" s="150">
        <f t="shared" si="45"/>
        <v>45839</v>
      </c>
      <c r="C182" s="166">
        <f t="shared" si="55"/>
        <v>45874</v>
      </c>
      <c r="D182" s="166">
        <f t="shared" si="55"/>
        <v>45894</v>
      </c>
      <c r="E182" s="1" t="s">
        <v>55</v>
      </c>
      <c r="F182" s="86">
        <v>9</v>
      </c>
      <c r="G182" s="152">
        <v>0</v>
      </c>
      <c r="H182" s="153">
        <f t="shared" si="46"/>
        <v>14.082031249469972</v>
      </c>
      <c r="I182" s="153">
        <f t="shared" si="57"/>
        <v>15.202428570079263</v>
      </c>
      <c r="J182" s="104">
        <f t="shared" si="47"/>
        <v>0</v>
      </c>
      <c r="K182" s="154">
        <f t="shared" si="41"/>
        <v>0</v>
      </c>
      <c r="L182" s="155">
        <f t="shared" si="56"/>
        <v>0</v>
      </c>
      <c r="M182" s="104">
        <f t="shared" si="48"/>
        <v>0</v>
      </c>
      <c r="N182" s="156">
        <f t="shared" si="49"/>
        <v>0</v>
      </c>
      <c r="O182" s="104">
        <v>0</v>
      </c>
      <c r="P182" s="104">
        <v>0</v>
      </c>
      <c r="Q182" s="104">
        <v>0</v>
      </c>
      <c r="R182" s="156">
        <f t="shared" si="50"/>
        <v>0</v>
      </c>
    </row>
    <row r="183" spans="1:18" x14ac:dyDescent="0.2">
      <c r="A183" s="86">
        <v>8</v>
      </c>
      <c r="B183" s="150">
        <f t="shared" si="45"/>
        <v>45870</v>
      </c>
      <c r="C183" s="166">
        <f t="shared" si="55"/>
        <v>45904</v>
      </c>
      <c r="D183" s="166">
        <f t="shared" si="55"/>
        <v>45924</v>
      </c>
      <c r="E183" s="1" t="s">
        <v>55</v>
      </c>
      <c r="F183" s="86">
        <v>9</v>
      </c>
      <c r="G183" s="152">
        <v>0</v>
      </c>
      <c r="H183" s="153">
        <f t="shared" si="46"/>
        <v>14.082031249469972</v>
      </c>
      <c r="I183" s="153">
        <f t="shared" si="57"/>
        <v>15.202428570079263</v>
      </c>
      <c r="J183" s="104">
        <f t="shared" si="47"/>
        <v>0</v>
      </c>
      <c r="K183" s="154">
        <f t="shared" si="41"/>
        <v>0</v>
      </c>
      <c r="L183" s="155">
        <f t="shared" si="56"/>
        <v>0</v>
      </c>
      <c r="M183" s="104">
        <f t="shared" si="48"/>
        <v>0</v>
      </c>
      <c r="N183" s="156">
        <f t="shared" si="49"/>
        <v>0</v>
      </c>
      <c r="O183" s="104">
        <v>0</v>
      </c>
      <c r="P183" s="104">
        <v>0</v>
      </c>
      <c r="Q183" s="104">
        <v>0</v>
      </c>
      <c r="R183" s="156">
        <f t="shared" si="50"/>
        <v>0</v>
      </c>
    </row>
    <row r="184" spans="1:18" x14ac:dyDescent="0.2">
      <c r="A184" s="86">
        <v>9</v>
      </c>
      <c r="B184" s="150">
        <f t="shared" si="45"/>
        <v>45901</v>
      </c>
      <c r="C184" s="166">
        <f t="shared" si="55"/>
        <v>45933</v>
      </c>
      <c r="D184" s="166">
        <f t="shared" si="55"/>
        <v>45954</v>
      </c>
      <c r="E184" s="1" t="s">
        <v>55</v>
      </c>
      <c r="F184" s="86">
        <v>9</v>
      </c>
      <c r="G184" s="152">
        <v>0</v>
      </c>
      <c r="H184" s="153">
        <f t="shared" si="46"/>
        <v>14.082031249469972</v>
      </c>
      <c r="I184" s="153">
        <f t="shared" si="57"/>
        <v>15.202428570079263</v>
      </c>
      <c r="J184" s="104">
        <f t="shared" si="47"/>
        <v>0</v>
      </c>
      <c r="K184" s="154">
        <f t="shared" si="41"/>
        <v>0</v>
      </c>
      <c r="L184" s="155">
        <f t="shared" si="56"/>
        <v>0</v>
      </c>
      <c r="M184" s="104">
        <f t="shared" si="48"/>
        <v>0</v>
      </c>
      <c r="N184" s="156">
        <f t="shared" si="49"/>
        <v>0</v>
      </c>
      <c r="O184" s="104">
        <v>0</v>
      </c>
      <c r="P184" s="104">
        <v>0</v>
      </c>
      <c r="Q184" s="104">
        <v>0</v>
      </c>
      <c r="R184" s="156">
        <f t="shared" si="50"/>
        <v>0</v>
      </c>
    </row>
    <row r="185" spans="1:18" x14ac:dyDescent="0.2">
      <c r="A185" s="86">
        <v>10</v>
      </c>
      <c r="B185" s="150">
        <f t="shared" si="45"/>
        <v>45931</v>
      </c>
      <c r="C185" s="166">
        <f t="shared" si="55"/>
        <v>45966</v>
      </c>
      <c r="D185" s="166">
        <f t="shared" si="55"/>
        <v>45985</v>
      </c>
      <c r="E185" s="1" t="s">
        <v>55</v>
      </c>
      <c r="F185" s="86">
        <v>9</v>
      </c>
      <c r="G185" s="152">
        <v>0</v>
      </c>
      <c r="H185" s="153">
        <f t="shared" si="46"/>
        <v>14.082031249469972</v>
      </c>
      <c r="I185" s="153">
        <f t="shared" si="57"/>
        <v>15.202428570079263</v>
      </c>
      <c r="J185" s="104">
        <f t="shared" si="47"/>
        <v>0</v>
      </c>
      <c r="K185" s="154">
        <f t="shared" si="41"/>
        <v>0</v>
      </c>
      <c r="L185" s="155">
        <f t="shared" si="56"/>
        <v>0</v>
      </c>
      <c r="M185" s="104">
        <f t="shared" si="48"/>
        <v>0</v>
      </c>
      <c r="N185" s="156">
        <f t="shared" si="49"/>
        <v>0</v>
      </c>
      <c r="O185" s="104">
        <v>0</v>
      </c>
      <c r="P185" s="104">
        <v>0</v>
      </c>
      <c r="Q185" s="104">
        <v>0</v>
      </c>
      <c r="R185" s="156">
        <f t="shared" si="50"/>
        <v>0</v>
      </c>
    </row>
    <row r="186" spans="1:18" x14ac:dyDescent="0.2">
      <c r="A186" s="86">
        <v>11</v>
      </c>
      <c r="B186" s="150">
        <f t="shared" si="45"/>
        <v>45962</v>
      </c>
      <c r="C186" s="166">
        <f t="shared" si="55"/>
        <v>45994</v>
      </c>
      <c r="D186" s="166">
        <f t="shared" si="55"/>
        <v>46015</v>
      </c>
      <c r="E186" s="1" t="s">
        <v>55</v>
      </c>
      <c r="F186" s="86">
        <v>9</v>
      </c>
      <c r="G186" s="152">
        <v>0</v>
      </c>
      <c r="H186" s="153">
        <f t="shared" si="46"/>
        <v>14.082031249469972</v>
      </c>
      <c r="I186" s="153">
        <f t="shared" si="57"/>
        <v>15.202428570079263</v>
      </c>
      <c r="J186" s="104">
        <f t="shared" si="47"/>
        <v>0</v>
      </c>
      <c r="K186" s="154">
        <f t="shared" si="41"/>
        <v>0</v>
      </c>
      <c r="L186" s="155">
        <f t="shared" si="56"/>
        <v>0</v>
      </c>
      <c r="M186" s="104">
        <f t="shared" si="48"/>
        <v>0</v>
      </c>
      <c r="N186" s="156">
        <f t="shared" si="49"/>
        <v>0</v>
      </c>
      <c r="O186" s="104">
        <v>0</v>
      </c>
      <c r="P186" s="104">
        <v>0</v>
      </c>
      <c r="Q186" s="104">
        <v>0</v>
      </c>
      <c r="R186" s="156">
        <f t="shared" si="50"/>
        <v>0</v>
      </c>
    </row>
    <row r="187" spans="1:18" s="170" customFormat="1" x14ac:dyDescent="0.2">
      <c r="A187" s="86">
        <v>12</v>
      </c>
      <c r="B187" s="168">
        <f t="shared" si="45"/>
        <v>45992</v>
      </c>
      <c r="C187" s="166">
        <f t="shared" si="55"/>
        <v>46028</v>
      </c>
      <c r="D187" s="166">
        <f t="shared" si="55"/>
        <v>46048</v>
      </c>
      <c r="E187" s="169" t="s">
        <v>55</v>
      </c>
      <c r="F187" s="127">
        <v>9</v>
      </c>
      <c r="G187" s="190">
        <v>0</v>
      </c>
      <c r="H187" s="158">
        <f t="shared" si="46"/>
        <v>14.082031249469972</v>
      </c>
      <c r="I187" s="158">
        <f t="shared" si="57"/>
        <v>15.202428570079263</v>
      </c>
      <c r="J187" s="159">
        <f t="shared" si="47"/>
        <v>0</v>
      </c>
      <c r="K187" s="160">
        <f t="shared" si="41"/>
        <v>0</v>
      </c>
      <c r="L187" s="161">
        <f t="shared" si="56"/>
        <v>0</v>
      </c>
      <c r="M187" s="159">
        <f t="shared" si="48"/>
        <v>0</v>
      </c>
      <c r="N187" s="191">
        <f t="shared" si="49"/>
        <v>0</v>
      </c>
      <c r="O187" s="159">
        <v>0</v>
      </c>
      <c r="P187" s="159">
        <v>0</v>
      </c>
      <c r="Q187" s="159">
        <v>0</v>
      </c>
      <c r="R187" s="191">
        <f t="shared" si="50"/>
        <v>0</v>
      </c>
    </row>
    <row r="188" spans="1:18" x14ac:dyDescent="0.2">
      <c r="A188" s="86">
        <v>1</v>
      </c>
      <c r="B188" s="150">
        <f t="shared" si="45"/>
        <v>45658</v>
      </c>
      <c r="C188" s="163">
        <f t="shared" ref="C188:D211" si="58">+C176</f>
        <v>45693</v>
      </c>
      <c r="D188" s="163">
        <f t="shared" si="58"/>
        <v>45712</v>
      </c>
      <c r="E188" s="151" t="s">
        <v>56</v>
      </c>
      <c r="F188" s="86">
        <v>9</v>
      </c>
      <c r="G188" s="152">
        <v>37</v>
      </c>
      <c r="H188" s="153">
        <f t="shared" si="46"/>
        <v>14.082031249469972</v>
      </c>
      <c r="I188" s="153">
        <f t="shared" si="57"/>
        <v>15.202428570079263</v>
      </c>
      <c r="J188" s="104">
        <f t="shared" si="47"/>
        <v>562.48985709293277</v>
      </c>
      <c r="K188" s="154">
        <f t="shared" si="41"/>
        <v>521.03515623038902</v>
      </c>
      <c r="L188" s="155">
        <f t="shared" si="56"/>
        <v>41.454700862543746</v>
      </c>
      <c r="M188" s="104">
        <f t="shared" si="48"/>
        <v>2.968217336816652</v>
      </c>
      <c r="N188" s="156">
        <f t="shared" si="49"/>
        <v>44.422918199360396</v>
      </c>
      <c r="O188" s="104">
        <v>0</v>
      </c>
      <c r="P188" s="104">
        <v>0</v>
      </c>
      <c r="Q188" s="104">
        <v>0</v>
      </c>
      <c r="R188" s="156">
        <f t="shared" si="50"/>
        <v>44.422918199360396</v>
      </c>
    </row>
    <row r="189" spans="1:18" x14ac:dyDescent="0.2">
      <c r="A189" s="86">
        <v>2</v>
      </c>
      <c r="B189" s="150">
        <f t="shared" si="45"/>
        <v>45689</v>
      </c>
      <c r="C189" s="166">
        <f t="shared" si="58"/>
        <v>45721</v>
      </c>
      <c r="D189" s="166">
        <f t="shared" si="58"/>
        <v>45740</v>
      </c>
      <c r="E189" s="157" t="s">
        <v>56</v>
      </c>
      <c r="F189" s="86">
        <v>9</v>
      </c>
      <c r="G189" s="152">
        <v>42</v>
      </c>
      <c r="H189" s="153">
        <f t="shared" si="46"/>
        <v>14.082031249469972</v>
      </c>
      <c r="I189" s="153">
        <f t="shared" si="57"/>
        <v>15.202428570079263</v>
      </c>
      <c r="J189" s="104">
        <f t="shared" si="47"/>
        <v>638.50199994332911</v>
      </c>
      <c r="K189" s="154">
        <f t="shared" si="41"/>
        <v>591.44531247773887</v>
      </c>
      <c r="L189" s="155">
        <f t="shared" si="56"/>
        <v>47.056687465590244</v>
      </c>
      <c r="M189" s="104">
        <f t="shared" si="48"/>
        <v>3.3693277877378209</v>
      </c>
      <c r="N189" s="156">
        <f t="shared" si="49"/>
        <v>50.426015253328067</v>
      </c>
      <c r="O189" s="104">
        <v>0</v>
      </c>
      <c r="P189" s="104">
        <v>0</v>
      </c>
      <c r="Q189" s="104">
        <v>0</v>
      </c>
      <c r="R189" s="156">
        <f t="shared" si="50"/>
        <v>50.426015253328067</v>
      </c>
    </row>
    <row r="190" spans="1:18" x14ac:dyDescent="0.2">
      <c r="A190" s="86">
        <v>3</v>
      </c>
      <c r="B190" s="150">
        <f t="shared" si="45"/>
        <v>45717</v>
      </c>
      <c r="C190" s="166">
        <f t="shared" si="58"/>
        <v>45750</v>
      </c>
      <c r="D190" s="166">
        <f t="shared" si="58"/>
        <v>45771</v>
      </c>
      <c r="E190" s="157" t="s">
        <v>56</v>
      </c>
      <c r="F190" s="86">
        <v>9</v>
      </c>
      <c r="G190" s="152">
        <v>30</v>
      </c>
      <c r="H190" s="153">
        <f t="shared" si="46"/>
        <v>14.082031249469972</v>
      </c>
      <c r="I190" s="153">
        <f t="shared" si="57"/>
        <v>15.202428570079263</v>
      </c>
      <c r="J190" s="104">
        <f t="shared" si="47"/>
        <v>456.0728571023779</v>
      </c>
      <c r="K190" s="154">
        <f t="shared" si="41"/>
        <v>422.46093748409919</v>
      </c>
      <c r="L190" s="155">
        <f>+J190-K190</f>
        <v>33.611919618278705</v>
      </c>
      <c r="M190" s="104">
        <f t="shared" si="48"/>
        <v>2.4066627055270149</v>
      </c>
      <c r="N190" s="156">
        <f t="shared" si="49"/>
        <v>36.018582323805717</v>
      </c>
      <c r="O190" s="104">
        <v>0</v>
      </c>
      <c r="P190" s="104">
        <v>0</v>
      </c>
      <c r="Q190" s="104">
        <v>0</v>
      </c>
      <c r="R190" s="156">
        <f t="shared" si="50"/>
        <v>36.018582323805717</v>
      </c>
    </row>
    <row r="191" spans="1:18" x14ac:dyDescent="0.2">
      <c r="A191" s="86">
        <v>4</v>
      </c>
      <c r="B191" s="150">
        <f t="shared" si="45"/>
        <v>45748</v>
      </c>
      <c r="C191" s="166">
        <f t="shared" si="58"/>
        <v>45782</v>
      </c>
      <c r="D191" s="166">
        <f t="shared" si="58"/>
        <v>45803</v>
      </c>
      <c r="E191" s="1" t="s">
        <v>56</v>
      </c>
      <c r="F191" s="86">
        <v>9</v>
      </c>
      <c r="G191" s="152">
        <v>32</v>
      </c>
      <c r="H191" s="153">
        <f t="shared" si="46"/>
        <v>14.082031249469972</v>
      </c>
      <c r="I191" s="153">
        <f t="shared" si="57"/>
        <v>15.202428570079263</v>
      </c>
      <c r="J191" s="104">
        <f t="shared" si="47"/>
        <v>486.47771424253642</v>
      </c>
      <c r="K191" s="154">
        <f t="shared" si="41"/>
        <v>450.62499998303912</v>
      </c>
      <c r="L191" s="155">
        <f t="shared" ref="L191:L201" si="59">+J191-K191</f>
        <v>35.852714259497304</v>
      </c>
      <c r="M191" s="104">
        <f t="shared" si="48"/>
        <v>2.5671068858954826</v>
      </c>
      <c r="N191" s="156">
        <f t="shared" si="49"/>
        <v>38.419821145392788</v>
      </c>
      <c r="O191" s="104">
        <v>0</v>
      </c>
      <c r="P191" s="104">
        <v>0</v>
      </c>
      <c r="Q191" s="104">
        <v>0</v>
      </c>
      <c r="R191" s="156">
        <f t="shared" si="50"/>
        <v>38.419821145392788</v>
      </c>
    </row>
    <row r="192" spans="1:18" x14ac:dyDescent="0.2">
      <c r="A192" s="86">
        <v>5</v>
      </c>
      <c r="B192" s="150">
        <f t="shared" si="45"/>
        <v>45778</v>
      </c>
      <c r="C192" s="166">
        <f t="shared" si="58"/>
        <v>45812</v>
      </c>
      <c r="D192" s="166">
        <f t="shared" si="58"/>
        <v>45832</v>
      </c>
      <c r="E192" s="1" t="s">
        <v>56</v>
      </c>
      <c r="F192" s="86">
        <v>9</v>
      </c>
      <c r="G192" s="152">
        <v>39</v>
      </c>
      <c r="H192" s="153">
        <f t="shared" si="46"/>
        <v>14.082031249469972</v>
      </c>
      <c r="I192" s="153">
        <f t="shared" si="57"/>
        <v>15.202428570079263</v>
      </c>
      <c r="J192" s="104">
        <f t="shared" si="47"/>
        <v>592.89471423309124</v>
      </c>
      <c r="K192" s="154">
        <f t="shared" si="41"/>
        <v>549.19921872932889</v>
      </c>
      <c r="L192" s="155">
        <f t="shared" si="59"/>
        <v>43.695495503762345</v>
      </c>
      <c r="M192" s="104">
        <f t="shared" si="48"/>
        <v>3.1286615171851198</v>
      </c>
      <c r="N192" s="156">
        <f t="shared" si="49"/>
        <v>46.824157020947467</v>
      </c>
      <c r="O192" s="104">
        <v>0</v>
      </c>
      <c r="P192" s="104">
        <v>0</v>
      </c>
      <c r="Q192" s="104">
        <v>0</v>
      </c>
      <c r="R192" s="156">
        <f t="shared" si="50"/>
        <v>46.824157020947467</v>
      </c>
    </row>
    <row r="193" spans="1:18" x14ac:dyDescent="0.2">
      <c r="A193" s="86">
        <v>6</v>
      </c>
      <c r="B193" s="150">
        <f t="shared" si="45"/>
        <v>45809</v>
      </c>
      <c r="C193" s="166">
        <f t="shared" si="58"/>
        <v>45841</v>
      </c>
      <c r="D193" s="166">
        <f t="shared" si="58"/>
        <v>45862</v>
      </c>
      <c r="E193" s="1" t="s">
        <v>56</v>
      </c>
      <c r="F193" s="86">
        <v>9</v>
      </c>
      <c r="G193" s="152">
        <v>47</v>
      </c>
      <c r="H193" s="153">
        <f t="shared" si="46"/>
        <v>14.082031249469972</v>
      </c>
      <c r="I193" s="153">
        <f t="shared" si="57"/>
        <v>15.202428570079263</v>
      </c>
      <c r="J193" s="104">
        <f t="shared" si="47"/>
        <v>714.51414279372534</v>
      </c>
      <c r="K193" s="154">
        <f t="shared" si="41"/>
        <v>661.85546872508871</v>
      </c>
      <c r="L193" s="155">
        <f t="shared" si="59"/>
        <v>52.658674068636628</v>
      </c>
      <c r="M193" s="104">
        <f t="shared" si="48"/>
        <v>3.7704382386589903</v>
      </c>
      <c r="N193" s="156">
        <f t="shared" si="49"/>
        <v>56.429112307295618</v>
      </c>
      <c r="O193" s="104">
        <v>0</v>
      </c>
      <c r="P193" s="104">
        <v>0</v>
      </c>
      <c r="Q193" s="104">
        <v>0</v>
      </c>
      <c r="R193" s="156">
        <f t="shared" si="50"/>
        <v>56.429112307295618</v>
      </c>
    </row>
    <row r="194" spans="1:18" x14ac:dyDescent="0.2">
      <c r="A194" s="86">
        <v>7</v>
      </c>
      <c r="B194" s="150">
        <f t="shared" si="45"/>
        <v>45839</v>
      </c>
      <c r="C194" s="166">
        <f t="shared" si="58"/>
        <v>45874</v>
      </c>
      <c r="D194" s="166">
        <f t="shared" si="58"/>
        <v>45894</v>
      </c>
      <c r="E194" s="1" t="s">
        <v>56</v>
      </c>
      <c r="F194" s="86">
        <v>9</v>
      </c>
      <c r="G194" s="152">
        <v>53</v>
      </c>
      <c r="H194" s="153">
        <f t="shared" si="46"/>
        <v>14.082031249469972</v>
      </c>
      <c r="I194" s="153">
        <f t="shared" si="57"/>
        <v>15.202428570079263</v>
      </c>
      <c r="J194" s="104">
        <f t="shared" si="47"/>
        <v>805.72871421420098</v>
      </c>
      <c r="K194" s="154">
        <f t="shared" si="41"/>
        <v>746.34765622190855</v>
      </c>
      <c r="L194" s="155">
        <f t="shared" si="59"/>
        <v>59.381057992292426</v>
      </c>
      <c r="M194" s="104">
        <f t="shared" si="48"/>
        <v>4.2517707797643931</v>
      </c>
      <c r="N194" s="156">
        <f t="shared" si="49"/>
        <v>63.632828772056818</v>
      </c>
      <c r="O194" s="104">
        <v>0</v>
      </c>
      <c r="P194" s="104">
        <v>0</v>
      </c>
      <c r="Q194" s="104">
        <v>0</v>
      </c>
      <c r="R194" s="156">
        <f t="shared" si="50"/>
        <v>63.632828772056818</v>
      </c>
    </row>
    <row r="195" spans="1:18" x14ac:dyDescent="0.2">
      <c r="A195" s="86">
        <v>8</v>
      </c>
      <c r="B195" s="150">
        <f t="shared" si="45"/>
        <v>45870</v>
      </c>
      <c r="C195" s="166">
        <f t="shared" si="58"/>
        <v>45904</v>
      </c>
      <c r="D195" s="166">
        <f t="shared" si="58"/>
        <v>45924</v>
      </c>
      <c r="E195" s="1" t="s">
        <v>56</v>
      </c>
      <c r="F195" s="86">
        <v>9</v>
      </c>
      <c r="G195" s="152">
        <v>52</v>
      </c>
      <c r="H195" s="153">
        <f t="shared" si="46"/>
        <v>14.082031249469972</v>
      </c>
      <c r="I195" s="153">
        <f t="shared" si="57"/>
        <v>15.202428570079263</v>
      </c>
      <c r="J195" s="104">
        <f t="shared" si="47"/>
        <v>790.52628564412169</v>
      </c>
      <c r="K195" s="154">
        <f t="shared" si="41"/>
        <v>732.26562497243856</v>
      </c>
      <c r="L195" s="155">
        <f t="shared" si="59"/>
        <v>58.260660671683127</v>
      </c>
      <c r="M195" s="104">
        <f t="shared" si="48"/>
        <v>4.1715486895801588</v>
      </c>
      <c r="N195" s="156">
        <f t="shared" si="49"/>
        <v>62.432209361263283</v>
      </c>
      <c r="O195" s="104">
        <v>0</v>
      </c>
      <c r="P195" s="104">
        <v>0</v>
      </c>
      <c r="Q195" s="104">
        <v>0</v>
      </c>
      <c r="R195" s="156">
        <f t="shared" si="50"/>
        <v>62.432209361263283</v>
      </c>
    </row>
    <row r="196" spans="1:18" x14ac:dyDescent="0.2">
      <c r="A196" s="86">
        <v>9</v>
      </c>
      <c r="B196" s="150">
        <f t="shared" si="45"/>
        <v>45901</v>
      </c>
      <c r="C196" s="166">
        <f t="shared" si="58"/>
        <v>45933</v>
      </c>
      <c r="D196" s="166">
        <f t="shared" si="58"/>
        <v>45954</v>
      </c>
      <c r="E196" s="1" t="s">
        <v>56</v>
      </c>
      <c r="F196" s="86">
        <v>9</v>
      </c>
      <c r="G196" s="152">
        <v>45</v>
      </c>
      <c r="H196" s="153">
        <f t="shared" si="46"/>
        <v>14.082031249469972</v>
      </c>
      <c r="I196" s="153">
        <f t="shared" si="57"/>
        <v>15.202428570079263</v>
      </c>
      <c r="J196" s="104">
        <f t="shared" si="47"/>
        <v>684.10928565356687</v>
      </c>
      <c r="K196" s="154">
        <f t="shared" si="41"/>
        <v>633.69140622614873</v>
      </c>
      <c r="L196" s="155">
        <f t="shared" si="59"/>
        <v>50.417879427418143</v>
      </c>
      <c r="M196" s="104">
        <f t="shared" si="48"/>
        <v>3.6099940582905226</v>
      </c>
      <c r="N196" s="156">
        <f t="shared" si="49"/>
        <v>54.027873485708668</v>
      </c>
      <c r="O196" s="104">
        <v>0</v>
      </c>
      <c r="P196" s="104">
        <v>0</v>
      </c>
      <c r="Q196" s="104">
        <v>0</v>
      </c>
      <c r="R196" s="156">
        <f t="shared" si="50"/>
        <v>54.027873485708668</v>
      </c>
    </row>
    <row r="197" spans="1:18" x14ac:dyDescent="0.2">
      <c r="A197" s="86">
        <v>10</v>
      </c>
      <c r="B197" s="150">
        <f t="shared" si="45"/>
        <v>45931</v>
      </c>
      <c r="C197" s="166">
        <f t="shared" si="58"/>
        <v>45966</v>
      </c>
      <c r="D197" s="166">
        <f t="shared" si="58"/>
        <v>45985</v>
      </c>
      <c r="E197" s="1" t="s">
        <v>56</v>
      </c>
      <c r="F197" s="86">
        <v>9</v>
      </c>
      <c r="G197" s="152">
        <v>41</v>
      </c>
      <c r="H197" s="153">
        <f t="shared" si="46"/>
        <v>14.082031249469972</v>
      </c>
      <c r="I197" s="153">
        <f t="shared" si="57"/>
        <v>15.202428570079263</v>
      </c>
      <c r="J197" s="104">
        <f t="shared" si="47"/>
        <v>623.29957137324982</v>
      </c>
      <c r="K197" s="154">
        <f t="shared" si="41"/>
        <v>577.36328122826887</v>
      </c>
      <c r="L197" s="155">
        <f t="shared" si="59"/>
        <v>45.936290144980944</v>
      </c>
      <c r="M197" s="104">
        <f t="shared" si="48"/>
        <v>3.2891056975535871</v>
      </c>
      <c r="N197" s="156">
        <f t="shared" si="49"/>
        <v>49.225395842534532</v>
      </c>
      <c r="O197" s="104">
        <v>0</v>
      </c>
      <c r="P197" s="104">
        <v>0</v>
      </c>
      <c r="Q197" s="104">
        <v>0</v>
      </c>
      <c r="R197" s="156">
        <f t="shared" si="50"/>
        <v>49.225395842534532</v>
      </c>
    </row>
    <row r="198" spans="1:18" x14ac:dyDescent="0.2">
      <c r="A198" s="86">
        <v>11</v>
      </c>
      <c r="B198" s="150">
        <f t="shared" si="45"/>
        <v>45962</v>
      </c>
      <c r="C198" s="166">
        <f t="shared" si="58"/>
        <v>45994</v>
      </c>
      <c r="D198" s="166">
        <f t="shared" si="58"/>
        <v>46015</v>
      </c>
      <c r="E198" s="1" t="s">
        <v>56</v>
      </c>
      <c r="F198" s="86">
        <v>9</v>
      </c>
      <c r="G198" s="152">
        <v>29</v>
      </c>
      <c r="H198" s="153">
        <f t="shared" si="46"/>
        <v>14.082031249469972</v>
      </c>
      <c r="I198" s="153">
        <f t="shared" si="57"/>
        <v>15.202428570079263</v>
      </c>
      <c r="J198" s="104">
        <f t="shared" si="47"/>
        <v>440.87042853229866</v>
      </c>
      <c r="K198" s="154">
        <f t="shared" ref="K198:K209" si="60">+$G198*H198</f>
        <v>408.3789062346292</v>
      </c>
      <c r="L198" s="155">
        <f t="shared" si="59"/>
        <v>32.491522297669462</v>
      </c>
      <c r="M198" s="104">
        <f t="shared" si="48"/>
        <v>2.3264406153427815</v>
      </c>
      <c r="N198" s="156">
        <f t="shared" si="49"/>
        <v>34.817962913012245</v>
      </c>
      <c r="O198" s="104">
        <v>0</v>
      </c>
      <c r="P198" s="104">
        <v>0</v>
      </c>
      <c r="Q198" s="104">
        <v>0</v>
      </c>
      <c r="R198" s="156">
        <f t="shared" si="50"/>
        <v>34.817962913012245</v>
      </c>
    </row>
    <row r="199" spans="1:18" s="170" customFormat="1" x14ac:dyDescent="0.2">
      <c r="A199" s="86">
        <v>12</v>
      </c>
      <c r="B199" s="168">
        <f t="shared" si="45"/>
        <v>45992</v>
      </c>
      <c r="C199" s="166">
        <f t="shared" si="58"/>
        <v>46028</v>
      </c>
      <c r="D199" s="166">
        <f t="shared" si="58"/>
        <v>46048</v>
      </c>
      <c r="E199" s="169" t="s">
        <v>56</v>
      </c>
      <c r="F199" s="127">
        <v>9</v>
      </c>
      <c r="G199" s="190">
        <v>36</v>
      </c>
      <c r="H199" s="158">
        <f t="shared" si="46"/>
        <v>14.082031249469972</v>
      </c>
      <c r="I199" s="158">
        <f t="shared" si="57"/>
        <v>15.202428570079263</v>
      </c>
      <c r="J199" s="159">
        <f t="shared" si="47"/>
        <v>547.28742852285347</v>
      </c>
      <c r="K199" s="160">
        <f t="shared" si="60"/>
        <v>506.95312498091903</v>
      </c>
      <c r="L199" s="161">
        <f t="shared" si="59"/>
        <v>40.334303541934446</v>
      </c>
      <c r="M199" s="159">
        <f t="shared" si="48"/>
        <v>2.8879952466324177</v>
      </c>
      <c r="N199" s="191">
        <f t="shared" si="49"/>
        <v>43.22229878856686</v>
      </c>
      <c r="O199" s="159">
        <v>0</v>
      </c>
      <c r="P199" s="159">
        <v>0</v>
      </c>
      <c r="Q199" s="159">
        <v>0</v>
      </c>
      <c r="R199" s="191">
        <f t="shared" si="50"/>
        <v>43.22229878856686</v>
      </c>
    </row>
    <row r="200" spans="1:18" x14ac:dyDescent="0.2">
      <c r="A200" s="86">
        <v>1</v>
      </c>
      <c r="B200" s="150">
        <f t="shared" si="45"/>
        <v>45658</v>
      </c>
      <c r="C200" s="163">
        <f t="shared" si="58"/>
        <v>45693</v>
      </c>
      <c r="D200" s="163">
        <f t="shared" si="58"/>
        <v>45712</v>
      </c>
      <c r="E200" s="151" t="s">
        <v>17</v>
      </c>
      <c r="F200" s="86">
        <v>9</v>
      </c>
      <c r="G200" s="152">
        <v>106</v>
      </c>
      <c r="H200" s="153">
        <f t="shared" si="46"/>
        <v>14.082031249469972</v>
      </c>
      <c r="I200" s="153">
        <f t="shared" si="57"/>
        <v>15.202428570079263</v>
      </c>
      <c r="J200" s="104">
        <f t="shared" si="47"/>
        <v>1611.457428428402</v>
      </c>
      <c r="K200" s="154">
        <f t="shared" si="60"/>
        <v>1492.6953124438171</v>
      </c>
      <c r="L200" s="155">
        <f t="shared" si="59"/>
        <v>118.76211598458485</v>
      </c>
      <c r="M200" s="104">
        <f t="shared" si="48"/>
        <v>8.5035415595287862</v>
      </c>
      <c r="N200" s="156">
        <f t="shared" si="49"/>
        <v>127.26565754411364</v>
      </c>
      <c r="O200" s="104">
        <v>0</v>
      </c>
      <c r="P200" s="104">
        <v>0</v>
      </c>
      <c r="Q200" s="104">
        <v>0</v>
      </c>
      <c r="R200" s="156">
        <f t="shared" si="50"/>
        <v>127.26565754411364</v>
      </c>
    </row>
    <row r="201" spans="1:18" x14ac:dyDescent="0.2">
      <c r="A201" s="86">
        <v>2</v>
      </c>
      <c r="B201" s="150">
        <f t="shared" si="45"/>
        <v>45689</v>
      </c>
      <c r="C201" s="166">
        <f t="shared" si="58"/>
        <v>45721</v>
      </c>
      <c r="D201" s="166">
        <f t="shared" si="58"/>
        <v>45740</v>
      </c>
      <c r="E201" s="157" t="s">
        <v>17</v>
      </c>
      <c r="F201" s="86">
        <v>9</v>
      </c>
      <c r="G201" s="152">
        <v>102</v>
      </c>
      <c r="H201" s="153">
        <f t="shared" si="46"/>
        <v>14.082031249469972</v>
      </c>
      <c r="I201" s="153">
        <f t="shared" si="57"/>
        <v>15.202428570079263</v>
      </c>
      <c r="J201" s="104">
        <f t="shared" si="47"/>
        <v>1550.6477141480848</v>
      </c>
      <c r="K201" s="154">
        <f t="shared" si="60"/>
        <v>1436.3671874459371</v>
      </c>
      <c r="L201" s="155">
        <f t="shared" si="59"/>
        <v>114.28052670214765</v>
      </c>
      <c r="M201" s="104">
        <f t="shared" si="48"/>
        <v>8.1826531987918507</v>
      </c>
      <c r="N201" s="156">
        <f t="shared" si="49"/>
        <v>122.46317990093951</v>
      </c>
      <c r="O201" s="104">
        <v>0</v>
      </c>
      <c r="P201" s="104">
        <v>0</v>
      </c>
      <c r="Q201" s="104">
        <v>0</v>
      </c>
      <c r="R201" s="156">
        <f t="shared" si="50"/>
        <v>122.46317990093951</v>
      </c>
    </row>
    <row r="202" spans="1:18" x14ac:dyDescent="0.2">
      <c r="A202" s="86">
        <v>3</v>
      </c>
      <c r="B202" s="150">
        <f t="shared" si="45"/>
        <v>45717</v>
      </c>
      <c r="C202" s="166">
        <f t="shared" si="58"/>
        <v>45750</v>
      </c>
      <c r="D202" s="166">
        <f t="shared" si="58"/>
        <v>45771</v>
      </c>
      <c r="E202" s="157" t="s">
        <v>17</v>
      </c>
      <c r="F202" s="86">
        <v>9</v>
      </c>
      <c r="G202" s="152">
        <v>100</v>
      </c>
      <c r="H202" s="153">
        <f t="shared" si="46"/>
        <v>14.082031249469972</v>
      </c>
      <c r="I202" s="153">
        <f t="shared" si="57"/>
        <v>15.202428570079263</v>
      </c>
      <c r="J202" s="104">
        <f t="shared" si="47"/>
        <v>1520.2428570079264</v>
      </c>
      <c r="K202" s="154">
        <f t="shared" si="60"/>
        <v>1408.2031249469971</v>
      </c>
      <c r="L202" s="155">
        <f>+J202-K202</f>
        <v>112.03973206092928</v>
      </c>
      <c r="M202" s="104">
        <f t="shared" si="48"/>
        <v>8.0222090184233839</v>
      </c>
      <c r="N202" s="156">
        <f t="shared" si="49"/>
        <v>120.06194107935266</v>
      </c>
      <c r="O202" s="104">
        <v>0</v>
      </c>
      <c r="P202" s="104">
        <v>0</v>
      </c>
      <c r="Q202" s="104">
        <v>0</v>
      </c>
      <c r="R202" s="156">
        <f t="shared" si="50"/>
        <v>120.06194107935266</v>
      </c>
    </row>
    <row r="203" spans="1:18" x14ac:dyDescent="0.2">
      <c r="A203" s="86">
        <v>4</v>
      </c>
      <c r="B203" s="150">
        <f t="shared" si="45"/>
        <v>45748</v>
      </c>
      <c r="C203" s="166">
        <f t="shared" si="58"/>
        <v>45782</v>
      </c>
      <c r="D203" s="166">
        <f t="shared" si="58"/>
        <v>45803</v>
      </c>
      <c r="E203" s="157" t="s">
        <v>17</v>
      </c>
      <c r="F203" s="86">
        <v>9</v>
      </c>
      <c r="G203" s="152">
        <v>60</v>
      </c>
      <c r="H203" s="153">
        <f t="shared" si="46"/>
        <v>14.082031249469972</v>
      </c>
      <c r="I203" s="153">
        <f t="shared" si="57"/>
        <v>15.202428570079263</v>
      </c>
      <c r="J203" s="104">
        <f t="shared" si="47"/>
        <v>912.14571420475579</v>
      </c>
      <c r="K203" s="154">
        <f t="shared" si="60"/>
        <v>844.92187496819838</v>
      </c>
      <c r="L203" s="155">
        <f t="shared" ref="L203:L211" si="61">+J203-K203</f>
        <v>67.22383923655741</v>
      </c>
      <c r="M203" s="104">
        <f t="shared" si="48"/>
        <v>4.8133254110540298</v>
      </c>
      <c r="N203" s="156">
        <f t="shared" si="49"/>
        <v>72.037164647611434</v>
      </c>
      <c r="O203" s="104">
        <v>0</v>
      </c>
      <c r="P203" s="104">
        <v>0</v>
      </c>
      <c r="Q203" s="104">
        <v>0</v>
      </c>
      <c r="R203" s="156">
        <f t="shared" si="50"/>
        <v>72.037164647611434</v>
      </c>
    </row>
    <row r="204" spans="1:18" x14ac:dyDescent="0.2">
      <c r="A204" s="86">
        <v>5</v>
      </c>
      <c r="B204" s="150">
        <f t="shared" si="45"/>
        <v>45778</v>
      </c>
      <c r="C204" s="166">
        <f t="shared" si="58"/>
        <v>45812</v>
      </c>
      <c r="D204" s="166">
        <f t="shared" si="58"/>
        <v>45832</v>
      </c>
      <c r="E204" s="1" t="s">
        <v>17</v>
      </c>
      <c r="F204" s="86">
        <v>9</v>
      </c>
      <c r="G204" s="152">
        <v>96</v>
      </c>
      <c r="H204" s="153">
        <f t="shared" si="46"/>
        <v>14.082031249469972</v>
      </c>
      <c r="I204" s="153">
        <f t="shared" si="57"/>
        <v>15.202428570079263</v>
      </c>
      <c r="J204" s="104">
        <f t="shared" si="47"/>
        <v>1459.4331427276093</v>
      </c>
      <c r="K204" s="154">
        <f t="shared" si="60"/>
        <v>1351.8749999491174</v>
      </c>
      <c r="L204" s="155">
        <f t="shared" si="61"/>
        <v>107.55814277849186</v>
      </c>
      <c r="M204" s="104">
        <f t="shared" si="48"/>
        <v>7.7013206576864484</v>
      </c>
      <c r="N204" s="156">
        <f t="shared" si="49"/>
        <v>115.25946343617831</v>
      </c>
      <c r="O204" s="104">
        <v>0</v>
      </c>
      <c r="P204" s="104">
        <v>0</v>
      </c>
      <c r="Q204" s="104">
        <v>0</v>
      </c>
      <c r="R204" s="156">
        <f t="shared" si="50"/>
        <v>115.25946343617831</v>
      </c>
    </row>
    <row r="205" spans="1:18" x14ac:dyDescent="0.2">
      <c r="A205" s="86">
        <v>6</v>
      </c>
      <c r="B205" s="150">
        <f t="shared" si="45"/>
        <v>45809</v>
      </c>
      <c r="C205" s="166">
        <f t="shared" si="58"/>
        <v>45841</v>
      </c>
      <c r="D205" s="166">
        <f t="shared" si="58"/>
        <v>45862</v>
      </c>
      <c r="E205" s="1" t="s">
        <v>17</v>
      </c>
      <c r="F205" s="86">
        <v>9</v>
      </c>
      <c r="G205" s="152">
        <v>119</v>
      </c>
      <c r="H205" s="153">
        <f t="shared" si="46"/>
        <v>14.082031249469972</v>
      </c>
      <c r="I205" s="153">
        <f t="shared" si="57"/>
        <v>15.202428570079263</v>
      </c>
      <c r="J205" s="104">
        <f t="shared" si="47"/>
        <v>1809.0889998394323</v>
      </c>
      <c r="K205" s="154">
        <f t="shared" si="60"/>
        <v>1675.7617186869268</v>
      </c>
      <c r="L205" s="155">
        <f t="shared" si="61"/>
        <v>133.32728115250552</v>
      </c>
      <c r="M205" s="104">
        <f t="shared" si="48"/>
        <v>9.5464287319238252</v>
      </c>
      <c r="N205" s="156">
        <f t="shared" si="49"/>
        <v>142.87370988442933</v>
      </c>
      <c r="O205" s="104">
        <v>0</v>
      </c>
      <c r="P205" s="104">
        <v>0</v>
      </c>
      <c r="Q205" s="104">
        <v>0</v>
      </c>
      <c r="R205" s="156">
        <f t="shared" si="50"/>
        <v>142.87370988442933</v>
      </c>
    </row>
    <row r="206" spans="1:18" x14ac:dyDescent="0.2">
      <c r="A206" s="86">
        <v>7</v>
      </c>
      <c r="B206" s="150">
        <f t="shared" si="45"/>
        <v>45839</v>
      </c>
      <c r="C206" s="166">
        <f t="shared" si="58"/>
        <v>45874</v>
      </c>
      <c r="D206" s="166">
        <f t="shared" si="58"/>
        <v>45894</v>
      </c>
      <c r="E206" s="1" t="s">
        <v>17</v>
      </c>
      <c r="F206" s="86">
        <v>9</v>
      </c>
      <c r="G206" s="152">
        <v>118</v>
      </c>
      <c r="H206" s="153">
        <f t="shared" si="46"/>
        <v>14.082031249469972</v>
      </c>
      <c r="I206" s="153">
        <f t="shared" si="57"/>
        <v>15.202428570079263</v>
      </c>
      <c r="J206" s="104">
        <f t="shared" si="47"/>
        <v>1793.886571269353</v>
      </c>
      <c r="K206" s="154">
        <f t="shared" si="60"/>
        <v>1661.6796874374568</v>
      </c>
      <c r="L206" s="155">
        <f t="shared" si="61"/>
        <v>132.20688383189622</v>
      </c>
      <c r="M206" s="104">
        <f t="shared" si="48"/>
        <v>9.4662066417395927</v>
      </c>
      <c r="N206" s="156">
        <f t="shared" si="49"/>
        <v>141.67309047363582</v>
      </c>
      <c r="O206" s="104">
        <v>0</v>
      </c>
      <c r="P206" s="104">
        <v>0</v>
      </c>
      <c r="Q206" s="104">
        <v>0</v>
      </c>
      <c r="R206" s="156">
        <f t="shared" si="50"/>
        <v>141.67309047363582</v>
      </c>
    </row>
    <row r="207" spans="1:18" x14ac:dyDescent="0.2">
      <c r="A207" s="86">
        <v>8</v>
      </c>
      <c r="B207" s="150">
        <f t="shared" si="45"/>
        <v>45870</v>
      </c>
      <c r="C207" s="166">
        <f t="shared" si="58"/>
        <v>45904</v>
      </c>
      <c r="D207" s="166">
        <f t="shared" si="58"/>
        <v>45924</v>
      </c>
      <c r="E207" s="1" t="s">
        <v>17</v>
      </c>
      <c r="F207" s="86">
        <v>9</v>
      </c>
      <c r="G207" s="152">
        <v>119</v>
      </c>
      <c r="H207" s="153">
        <f t="shared" si="46"/>
        <v>14.082031249469972</v>
      </c>
      <c r="I207" s="153">
        <f t="shared" si="57"/>
        <v>15.202428570079263</v>
      </c>
      <c r="J207" s="104">
        <f t="shared" si="47"/>
        <v>1809.0889998394323</v>
      </c>
      <c r="K207" s="154">
        <f t="shared" si="60"/>
        <v>1675.7617186869268</v>
      </c>
      <c r="L207" s="155">
        <f t="shared" si="61"/>
        <v>133.32728115250552</v>
      </c>
      <c r="M207" s="104">
        <f t="shared" si="48"/>
        <v>9.5464287319238252</v>
      </c>
      <c r="N207" s="156">
        <f t="shared" si="49"/>
        <v>142.87370988442933</v>
      </c>
      <c r="O207" s="104">
        <v>0</v>
      </c>
      <c r="P207" s="104">
        <v>0</v>
      </c>
      <c r="Q207" s="104">
        <v>0</v>
      </c>
      <c r="R207" s="156">
        <f t="shared" si="50"/>
        <v>142.87370988442933</v>
      </c>
    </row>
    <row r="208" spans="1:18" x14ac:dyDescent="0.2">
      <c r="A208" s="86">
        <v>9</v>
      </c>
      <c r="B208" s="150">
        <f t="shared" si="45"/>
        <v>45901</v>
      </c>
      <c r="C208" s="166">
        <f t="shared" si="58"/>
        <v>45933</v>
      </c>
      <c r="D208" s="166">
        <f t="shared" si="58"/>
        <v>45954</v>
      </c>
      <c r="E208" s="1" t="s">
        <v>17</v>
      </c>
      <c r="F208" s="86">
        <v>9</v>
      </c>
      <c r="G208" s="152">
        <v>101</v>
      </c>
      <c r="H208" s="153">
        <f t="shared" si="46"/>
        <v>14.082031249469972</v>
      </c>
      <c r="I208" s="153">
        <f t="shared" si="57"/>
        <v>15.202428570079263</v>
      </c>
      <c r="J208" s="104">
        <f t="shared" si="47"/>
        <v>1535.4452855780055</v>
      </c>
      <c r="K208" s="154">
        <f t="shared" si="60"/>
        <v>1422.2851561964671</v>
      </c>
      <c r="L208" s="155">
        <f t="shared" si="61"/>
        <v>113.16012938153835</v>
      </c>
      <c r="M208" s="104">
        <f t="shared" si="48"/>
        <v>8.1024311086076164</v>
      </c>
      <c r="N208" s="156">
        <f t="shared" si="49"/>
        <v>121.26256049014597</v>
      </c>
      <c r="O208" s="104">
        <v>0</v>
      </c>
      <c r="P208" s="104">
        <v>0</v>
      </c>
      <c r="Q208" s="104">
        <v>0</v>
      </c>
      <c r="R208" s="156">
        <f t="shared" si="50"/>
        <v>121.26256049014597</v>
      </c>
    </row>
    <row r="209" spans="1:18" x14ac:dyDescent="0.2">
      <c r="A209" s="86">
        <v>10</v>
      </c>
      <c r="B209" s="150">
        <f t="shared" si="45"/>
        <v>45931</v>
      </c>
      <c r="C209" s="166">
        <f t="shared" si="58"/>
        <v>45966</v>
      </c>
      <c r="D209" s="166">
        <f t="shared" si="58"/>
        <v>45985</v>
      </c>
      <c r="E209" s="1" t="s">
        <v>17</v>
      </c>
      <c r="F209" s="86">
        <v>9</v>
      </c>
      <c r="G209" s="152">
        <v>106</v>
      </c>
      <c r="H209" s="153">
        <f t="shared" si="46"/>
        <v>14.082031249469972</v>
      </c>
      <c r="I209" s="153">
        <f t="shared" si="57"/>
        <v>15.202428570079263</v>
      </c>
      <c r="J209" s="104">
        <f t="shared" si="47"/>
        <v>1611.457428428402</v>
      </c>
      <c r="K209" s="154">
        <f t="shared" si="60"/>
        <v>1492.6953124438171</v>
      </c>
      <c r="L209" s="155">
        <f t="shared" si="61"/>
        <v>118.76211598458485</v>
      </c>
      <c r="M209" s="104">
        <f t="shared" si="48"/>
        <v>8.5035415595287862</v>
      </c>
      <c r="N209" s="156">
        <f t="shared" si="49"/>
        <v>127.26565754411364</v>
      </c>
      <c r="O209" s="104">
        <v>0</v>
      </c>
      <c r="P209" s="104">
        <v>0</v>
      </c>
      <c r="Q209" s="104">
        <v>0</v>
      </c>
      <c r="R209" s="156">
        <f t="shared" si="50"/>
        <v>127.26565754411364</v>
      </c>
    </row>
    <row r="210" spans="1:18" x14ac:dyDescent="0.2">
      <c r="A210" s="86">
        <v>11</v>
      </c>
      <c r="B210" s="150">
        <f t="shared" si="45"/>
        <v>45962</v>
      </c>
      <c r="C210" s="166">
        <f t="shared" si="58"/>
        <v>45994</v>
      </c>
      <c r="D210" s="166">
        <f t="shared" si="58"/>
        <v>46015</v>
      </c>
      <c r="E210" s="1" t="s">
        <v>17</v>
      </c>
      <c r="F210" s="86">
        <v>9</v>
      </c>
      <c r="G210" s="152">
        <v>35</v>
      </c>
      <c r="H210" s="153">
        <f t="shared" si="46"/>
        <v>14.082031249469972</v>
      </c>
      <c r="I210" s="153">
        <f t="shared" si="57"/>
        <v>15.202428570079263</v>
      </c>
      <c r="J210" s="104">
        <f t="shared" si="47"/>
        <v>532.08499995277418</v>
      </c>
      <c r="K210" s="154">
        <f>+$G210*H210</f>
        <v>492.87109373144904</v>
      </c>
      <c r="L210" s="155">
        <f t="shared" si="61"/>
        <v>39.213906221325146</v>
      </c>
      <c r="M210" s="104">
        <f t="shared" si="48"/>
        <v>2.8077731564481843</v>
      </c>
      <c r="N210" s="156">
        <f t="shared" si="49"/>
        <v>42.021679377773332</v>
      </c>
      <c r="O210" s="104">
        <v>0</v>
      </c>
      <c r="P210" s="104">
        <v>0</v>
      </c>
      <c r="Q210" s="104">
        <v>0</v>
      </c>
      <c r="R210" s="156">
        <f t="shared" si="50"/>
        <v>42.021679377773332</v>
      </c>
    </row>
    <row r="211" spans="1:18" s="170" customFormat="1" x14ac:dyDescent="0.2">
      <c r="A211" s="86">
        <v>12</v>
      </c>
      <c r="B211" s="168">
        <f t="shared" si="45"/>
        <v>45992</v>
      </c>
      <c r="C211" s="171">
        <f t="shared" si="58"/>
        <v>46028</v>
      </c>
      <c r="D211" s="171">
        <f t="shared" si="58"/>
        <v>46048</v>
      </c>
      <c r="E211" s="169" t="s">
        <v>17</v>
      </c>
      <c r="F211" s="127">
        <v>9</v>
      </c>
      <c r="G211" s="190">
        <v>103</v>
      </c>
      <c r="H211" s="158">
        <f t="shared" si="46"/>
        <v>14.082031249469972</v>
      </c>
      <c r="I211" s="158">
        <f t="shared" si="57"/>
        <v>15.202428570079263</v>
      </c>
      <c r="J211" s="159">
        <f t="shared" si="47"/>
        <v>1565.8501427181641</v>
      </c>
      <c r="K211" s="160">
        <f>+$G211*H211</f>
        <v>1450.4492186954071</v>
      </c>
      <c r="L211" s="161">
        <f t="shared" si="61"/>
        <v>115.40092402275695</v>
      </c>
      <c r="M211" s="159">
        <f t="shared" si="48"/>
        <v>8.262875288976085</v>
      </c>
      <c r="N211" s="191">
        <f t="shared" si="49"/>
        <v>123.66379931173304</v>
      </c>
      <c r="O211" s="159">
        <v>0</v>
      </c>
      <c r="P211" s="159">
        <v>0</v>
      </c>
      <c r="Q211" s="159">
        <v>0</v>
      </c>
      <c r="R211" s="191">
        <f t="shared" si="50"/>
        <v>123.66379931173304</v>
      </c>
    </row>
    <row r="212" spans="1:18" x14ac:dyDescent="0.2">
      <c r="G212" s="176">
        <f>SUM(G20:G211)</f>
        <v>105873</v>
      </c>
      <c r="H212" s="45"/>
      <c r="J212" s="45">
        <f>SUM(J20:J211)</f>
        <v>1609526.7200000035</v>
      </c>
      <c r="K212" s="45">
        <f>SUM(K20:K211)</f>
        <v>1490906.8944751329</v>
      </c>
      <c r="L212" s="45">
        <f>SUM(L20:L211)</f>
        <v>118619.82552486741</v>
      </c>
      <c r="M212" s="45">
        <f>SUM(M20:M211)</f>
        <v>8493.353354075376</v>
      </c>
      <c r="N212" s="45"/>
      <c r="O212" s="45"/>
      <c r="P212" s="45">
        <f>SUM(P20:P211)</f>
        <v>0</v>
      </c>
      <c r="Q212" s="45"/>
      <c r="R212" s="177">
        <f>SUM(R20:R211)</f>
        <v>127113.17887894288</v>
      </c>
    </row>
    <row r="213" spans="1:18" x14ac:dyDescent="0.2">
      <c r="P213" s="45"/>
      <c r="Q213" s="45"/>
    </row>
    <row r="220" spans="1:18" x14ac:dyDescent="0.2">
      <c r="D220"/>
      <c r="F220"/>
      <c r="G220"/>
      <c r="H220"/>
      <c r="I220"/>
      <c r="J220"/>
      <c r="K220"/>
      <c r="L220"/>
      <c r="M220"/>
      <c r="N220"/>
      <c r="O220"/>
      <c r="P220"/>
      <c r="Q220"/>
    </row>
  </sheetData>
  <mergeCells count="4">
    <mergeCell ref="G2:H2"/>
    <mergeCell ref="G3:H3"/>
    <mergeCell ref="G7:H7"/>
    <mergeCell ref="G8:H8"/>
  </mergeCells>
  <phoneticPr fontId="0" type="noConversion"/>
  <pageMargins left="0.5" right="0.5" top="1.05" bottom="1" header="0.31" footer="0.5"/>
  <pageSetup scale="46" fitToHeight="0" orientation="landscape" cellComments="asDisplayed" r:id="rId1"/>
  <headerFooter alignWithMargins="0">
    <oddHeader>&amp;R&amp;F  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9C77599AAFD4B8FFD850D55630F3C" ma:contentTypeVersion="11" ma:contentTypeDescription="Create a new document." ma:contentTypeScope="" ma:versionID="ad751a9f435e1866f9f8a73a34278f13">
  <xsd:schema xmlns:xsd="http://www.w3.org/2001/XMLSchema" xmlns:xs="http://www.w3.org/2001/XMLSchema" xmlns:p="http://schemas.microsoft.com/office/2006/metadata/properties" xmlns:ns2="6a06342d-ce85-4729-8251-347f0ba4f840" xmlns:ns3="b6888f76-1100-40b0-929b-1efe9044426d" targetNamespace="http://schemas.microsoft.com/office/2006/metadata/properties" ma:root="true" ma:fieldsID="e425485e64401a05f4c6dac9240526dc" ns2:_="" ns3:_="">
    <xsd:import namespace="6a06342d-ce85-4729-8251-347f0ba4f840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6342d-ce85-4729-8251-347f0ba4f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Tc3MDQwPC9Vc2VyTmFtZT48RGF0ZVRpbWU+NC80LzIwMjIgMzowOTo1Ni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xNzcwNDA8L1VzZXJOYW1lPjxEYXRlVGltZT41LzIzLzIwMjIgNTozNToyMSBQTTwvRGF0ZVRpbWU+PExhYmVsU3RyaW5nPkFFUCBJbnRlcm5hbDwvTGFiZWxTdHJpbmc+PC9pdGVtPjwvbGFiZWxIaXN0b3J5Pg==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06342d-ce85-4729-8251-347f0ba4f840">
      <Terms xmlns="http://schemas.microsoft.com/office/infopath/2007/PartnerControls"/>
    </lcf76f155ced4ddcb4097134ff3c332f>
    <TaxCatchAll xmlns="b6888f76-1100-40b0-929b-1efe9044426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394996C9-BCD7-4D00-943F-A32290A7F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6342d-ce85-4729-8251-347f0ba4f840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EE7CD5-3A35-47DF-B8E1-3CC1C0171682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3EB17344-9DD4-42F9-839C-9D32CD6EB5A1}">
  <ds:schemaRefs>
    <ds:schemaRef ds:uri="http://schemas.microsoft.com/office/2006/metadata/properties"/>
    <ds:schemaRef ds:uri="http://schemas.microsoft.com/office/infopath/2007/PartnerControls"/>
    <ds:schemaRef ds:uri="6a06342d-ce85-4729-8251-347f0ba4f840"/>
    <ds:schemaRef ds:uri="b6888f76-1100-40b0-929b-1efe9044426d"/>
  </ds:schemaRefs>
</ds:datastoreItem>
</file>

<file path=customXml/itemProps4.xml><?xml version="1.0" encoding="utf-8"?>
<ds:datastoreItem xmlns:ds="http://schemas.openxmlformats.org/officeDocument/2006/customXml" ds:itemID="{7A51A85A-4732-4B21-ACD2-0ED76C6F8CB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6410101-9F25-4650-99E5-8B03D1E803F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Summary</vt:lpstr>
      <vt:lpstr>Pivot</vt:lpstr>
      <vt:lpstr>Transactions</vt:lpstr>
      <vt:lpstr>Transactions!AS1_1999</vt:lpstr>
      <vt:lpstr>Instructions!Print_Area</vt:lpstr>
      <vt:lpstr>Summary!Print_Area</vt:lpstr>
      <vt:lpstr>Transactions!Print_Area</vt:lpstr>
      <vt:lpstr>Pivot!Print_Titles</vt:lpstr>
      <vt:lpstr>Transactions!Print_Titles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Williamson</dc:creator>
  <cp:keywords/>
  <cp:lastModifiedBy>Allyson L Keaton</cp:lastModifiedBy>
  <cp:lastPrinted>2023-05-24T19:57:31Z</cp:lastPrinted>
  <dcterms:created xsi:type="dcterms:W3CDTF">2009-09-04T18:19:13Z</dcterms:created>
  <dcterms:modified xsi:type="dcterms:W3CDTF">2026-05-21T20:49:49Z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c99beade-9592-42ec-a1ac-1ddee874002e</vt:lpwstr>
  </property>
  <property fmtid="{D5CDD505-2E9C-101B-9397-08002B2CF9AE}" pid="3" name="bjSaver">
    <vt:lpwstr>clRxCTTKA7z930TtRLwKph96GxWYXtbn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LabelHistoryID">
    <vt:lpwstr>{B0EE7CD5-3A35-47DF-B8E1-3CC1C0171682}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ContentTypeId">
    <vt:lpwstr>0x0101002649C77599AAFD4B8FFD850D55630F3C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